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Korisnik\Desktop\PLAN 2023\"/>
    </mc:Choice>
  </mc:AlternateContent>
  <xr:revisionPtr revIDLastSave="0" documentId="13_ncr:1_{4CE8C26A-2C29-465F-93A9-5CC33E9BE35E}" xr6:coauthVersionLast="37" xr6:coauthVersionMax="37" xr10:uidLastSave="{00000000-0000-0000-0000-000000000000}"/>
  <bookViews>
    <workbookView xWindow="0" yWindow="0" windowWidth="23040" windowHeight="9060" activeTab="1" xr2:uid="{00000000-000D-0000-FFFF-FFFF00000000}"/>
  </bookViews>
  <sheets>
    <sheet name="SAŽETAK" sheetId="1" r:id="rId1"/>
    <sheet name=" Račun prihoda i rashoda" sheetId="3" r:id="rId2"/>
    <sheet name="List2" sheetId="10" state="hidden" r:id="rId3"/>
    <sheet name="List1" sheetId="9" state="hidden" r:id="rId4"/>
    <sheet name="POSEBNI DIO" sheetId="7" r:id="rId5"/>
    <sheet name="Rashodi prema funkcijskoj" sheetId="8" r:id="rId6"/>
  </sheets>
  <definedNames>
    <definedName name="_xlnm._FilterDatabase" localSheetId="4" hidden="1">'POSEBNI DIO'!$A$7:$L$84</definedName>
  </definedNames>
  <calcPr calcId="1790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7" l="1"/>
  <c r="L6" i="7" l="1"/>
  <c r="E36" i="7"/>
  <c r="E35" i="7" s="1"/>
  <c r="E22" i="7"/>
  <c r="F27" i="7"/>
  <c r="F23" i="7"/>
  <c r="E17" i="7"/>
  <c r="F18" i="7"/>
  <c r="F17" i="7"/>
  <c r="H7" i="7"/>
  <c r="H21" i="7"/>
  <c r="J18" i="7"/>
  <c r="H10" i="7"/>
  <c r="I11" i="8" l="1"/>
  <c r="I12" i="8"/>
  <c r="H13" i="8"/>
  <c r="I13" i="8" s="1"/>
  <c r="H12" i="8"/>
  <c r="H11" i="8"/>
  <c r="F11" i="8"/>
  <c r="D11" i="8"/>
  <c r="F12" i="8"/>
  <c r="D12" i="8"/>
  <c r="C12" i="8"/>
  <c r="C11" i="8" s="1"/>
  <c r="B12" i="8"/>
  <c r="B11" i="8" s="1"/>
  <c r="G13" i="8"/>
  <c r="G12" i="8" s="1"/>
  <c r="G11" i="8" s="1"/>
  <c r="E13" i="8"/>
  <c r="E12" i="8" s="1"/>
  <c r="E11" i="8" s="1"/>
  <c r="C13" i="8"/>
  <c r="G31" i="3" l="1"/>
  <c r="G17" i="3"/>
  <c r="G27" i="7"/>
  <c r="H13" i="7"/>
  <c r="E52" i="3"/>
  <c r="G73" i="3" l="1"/>
  <c r="G59" i="3"/>
  <c r="E16" i="3"/>
  <c r="E27" i="7"/>
  <c r="F15" i="7"/>
  <c r="E14" i="7"/>
  <c r="E13" i="7" s="1"/>
  <c r="E9" i="7" s="1"/>
  <c r="E8" i="7" s="1"/>
  <c r="E7" i="7" l="1"/>
  <c r="F8" i="7"/>
  <c r="H13" i="1"/>
  <c r="I13" i="1" s="1"/>
  <c r="E59" i="3"/>
  <c r="F13" i="7"/>
  <c r="F14" i="7"/>
  <c r="E58" i="7" l="1"/>
  <c r="E57" i="7" s="1"/>
  <c r="F59" i="7"/>
  <c r="F58" i="7" s="1"/>
  <c r="F57" i="7" s="1"/>
  <c r="E61" i="7"/>
  <c r="G61" i="7"/>
  <c r="G88" i="7" s="1"/>
  <c r="F78" i="3"/>
  <c r="F79" i="3"/>
  <c r="F63" i="3"/>
  <c r="F64" i="3"/>
  <c r="F65" i="3"/>
  <c r="F66" i="3"/>
  <c r="F67" i="3"/>
  <c r="F68" i="3"/>
  <c r="F69" i="3"/>
  <c r="F70" i="3"/>
  <c r="E76" i="3"/>
  <c r="F76" i="3" s="1"/>
  <c r="E74" i="3"/>
  <c r="F72" i="3"/>
  <c r="E61" i="3"/>
  <c r="F61" i="3" s="1"/>
  <c r="E60" i="3"/>
  <c r="F60" i="3" s="1"/>
  <c r="E55" i="3"/>
  <c r="F55" i="3" s="1"/>
  <c r="E53" i="3"/>
  <c r="F53" i="3" s="1"/>
  <c r="F51" i="3"/>
  <c r="E49" i="3"/>
  <c r="E50" i="3" s="1"/>
  <c r="F50" i="3" s="1"/>
  <c r="E47" i="3"/>
  <c r="F47" i="3" s="1"/>
  <c r="E46" i="3"/>
  <c r="F46" i="3" s="1"/>
  <c r="E41" i="3"/>
  <c r="I12" i="3"/>
  <c r="K12" i="3" s="1"/>
  <c r="L12" i="3" s="1"/>
  <c r="I13" i="3"/>
  <c r="K13" i="3" s="1"/>
  <c r="L13" i="3" s="1"/>
  <c r="I14" i="3"/>
  <c r="K14" i="3" s="1"/>
  <c r="L14" i="3" s="1"/>
  <c r="I15" i="3"/>
  <c r="K15" i="3" s="1"/>
  <c r="L15" i="3" s="1"/>
  <c r="I16" i="3"/>
  <c r="K16" i="3" s="1"/>
  <c r="L16" i="3" s="1"/>
  <c r="I17" i="3"/>
  <c r="K17" i="3" s="1"/>
  <c r="L17" i="3" s="1"/>
  <c r="I18" i="3"/>
  <c r="K18" i="3" s="1"/>
  <c r="L18" i="3" s="1"/>
  <c r="I19" i="3"/>
  <c r="K19" i="3" s="1"/>
  <c r="L19" i="3" s="1"/>
  <c r="I20" i="3"/>
  <c r="K20" i="3" s="1"/>
  <c r="L20" i="3" s="1"/>
  <c r="I21" i="3"/>
  <c r="K21" i="3" s="1"/>
  <c r="L21" i="3" s="1"/>
  <c r="I22" i="3"/>
  <c r="K22" i="3" s="1"/>
  <c r="L22" i="3" s="1"/>
  <c r="I23" i="3"/>
  <c r="K23" i="3" s="1"/>
  <c r="L23" i="3" s="1"/>
  <c r="I24" i="3"/>
  <c r="K24" i="3" s="1"/>
  <c r="L24" i="3" s="1"/>
  <c r="I25" i="3"/>
  <c r="K25" i="3" s="1"/>
  <c r="L25" i="3" s="1"/>
  <c r="I26" i="3"/>
  <c r="K26" i="3" s="1"/>
  <c r="L26" i="3" s="1"/>
  <c r="I27" i="3"/>
  <c r="K27" i="3" s="1"/>
  <c r="L27" i="3" s="1"/>
  <c r="I28" i="3"/>
  <c r="K28" i="3" s="1"/>
  <c r="L28" i="3" s="1"/>
  <c r="I29" i="3"/>
  <c r="K29" i="3" s="1"/>
  <c r="L29" i="3" s="1"/>
  <c r="I30" i="3"/>
  <c r="K30" i="3" s="1"/>
  <c r="L30" i="3" s="1"/>
  <c r="I31" i="3"/>
  <c r="K31" i="3" s="1"/>
  <c r="L31" i="3" s="1"/>
  <c r="I32" i="3"/>
  <c r="K32" i="3" s="1"/>
  <c r="L32" i="3" s="1"/>
  <c r="I33" i="3"/>
  <c r="K33" i="3" s="1"/>
  <c r="L33" i="3" s="1"/>
  <c r="I11" i="3"/>
  <c r="K11" i="3" s="1"/>
  <c r="L11" i="3" s="1"/>
  <c r="H11" i="3"/>
  <c r="H13" i="3"/>
  <c r="H14" i="3"/>
  <c r="H15" i="3"/>
  <c r="H16" i="3"/>
  <c r="H19" i="3"/>
  <c r="H21" i="3"/>
  <c r="H29" i="3"/>
  <c r="H30" i="3"/>
  <c r="H32" i="3"/>
  <c r="H33" i="3"/>
  <c r="H10" i="1"/>
  <c r="I10" i="1" s="1"/>
  <c r="G27" i="3"/>
  <c r="G28" i="3" s="1"/>
  <c r="H28" i="3" s="1"/>
  <c r="G25" i="3"/>
  <c r="H25" i="3" s="1"/>
  <c r="G23" i="3"/>
  <c r="G10" i="3" s="1"/>
  <c r="G22" i="3"/>
  <c r="H22" i="3" s="1"/>
  <c r="G20" i="3"/>
  <c r="H20" i="3" s="1"/>
  <c r="G12" i="3"/>
  <c r="H12" i="3" s="1"/>
  <c r="F15" i="3"/>
  <c r="F16" i="3"/>
  <c r="F21" i="3"/>
  <c r="F22" i="3"/>
  <c r="F32" i="3"/>
  <c r="E29" i="3"/>
  <c r="E30" i="3" s="1"/>
  <c r="F30" i="3" s="1"/>
  <c r="E27" i="3"/>
  <c r="F27" i="3" s="1"/>
  <c r="E25" i="3"/>
  <c r="F25" i="3" s="1"/>
  <c r="E23" i="3"/>
  <c r="F23" i="3" s="1"/>
  <c r="E20" i="3"/>
  <c r="E19" i="3" s="1"/>
  <c r="F19" i="3" s="1"/>
  <c r="E17" i="3"/>
  <c r="E18" i="3" s="1"/>
  <c r="F18" i="3" s="1"/>
  <c r="E13" i="3"/>
  <c r="F13" i="3" s="1"/>
  <c r="E12" i="3"/>
  <c r="E11" i="3" s="1"/>
  <c r="G80" i="7"/>
  <c r="J55" i="3"/>
  <c r="K55" i="3" s="1"/>
  <c r="L55" i="3" s="1"/>
  <c r="J56" i="3"/>
  <c r="K56" i="3" s="1"/>
  <c r="L56" i="3" s="1"/>
  <c r="J65" i="3"/>
  <c r="K65" i="3" s="1"/>
  <c r="L65" i="3" s="1"/>
  <c r="J66" i="3"/>
  <c r="K66" i="3" s="1"/>
  <c r="L66" i="3" s="1"/>
  <c r="J67" i="3"/>
  <c r="K67" i="3" s="1"/>
  <c r="L67" i="3" s="1"/>
  <c r="J68" i="3"/>
  <c r="K68" i="3" s="1"/>
  <c r="L68" i="3" s="1"/>
  <c r="J69" i="3"/>
  <c r="K69" i="3" s="1"/>
  <c r="L69" i="3" s="1"/>
  <c r="J70" i="3"/>
  <c r="K70" i="3" s="1"/>
  <c r="L70" i="3" s="1"/>
  <c r="J78" i="3"/>
  <c r="K78" i="3" s="1"/>
  <c r="L78" i="3" s="1"/>
  <c r="J79" i="3"/>
  <c r="K79" i="3" s="1"/>
  <c r="L79" i="3" s="1"/>
  <c r="I51" i="3"/>
  <c r="J51" i="3" s="1"/>
  <c r="K51" i="3" s="1"/>
  <c r="L51" i="3" s="1"/>
  <c r="I45" i="3"/>
  <c r="I46" i="3" s="1"/>
  <c r="J46" i="3" s="1"/>
  <c r="K46" i="3" s="1"/>
  <c r="L46" i="3" s="1"/>
  <c r="I43" i="3"/>
  <c r="J43" i="3" s="1"/>
  <c r="K43" i="3" s="1"/>
  <c r="L43" i="3" s="1"/>
  <c r="I41" i="3"/>
  <c r="K70" i="7"/>
  <c r="J71" i="7"/>
  <c r="J72" i="7" s="1"/>
  <c r="I70" i="7"/>
  <c r="I71" i="7" s="1"/>
  <c r="I72" i="7" s="1"/>
  <c r="J67" i="7"/>
  <c r="K67" i="7" s="1"/>
  <c r="L67" i="7" s="1"/>
  <c r="K66" i="7"/>
  <c r="L66" i="7" s="1"/>
  <c r="K54" i="7"/>
  <c r="L54" i="7" s="1"/>
  <c r="K55" i="7"/>
  <c r="L55" i="7" s="1"/>
  <c r="J53" i="7"/>
  <c r="J52" i="7" s="1"/>
  <c r="K52" i="7" s="1"/>
  <c r="L52" i="7" s="1"/>
  <c r="K49" i="7"/>
  <c r="L49" i="7" s="1"/>
  <c r="K50" i="7"/>
  <c r="L50" i="7" s="1"/>
  <c r="K41" i="7"/>
  <c r="L41" i="7" s="1"/>
  <c r="K42" i="7"/>
  <c r="L42" i="7" s="1"/>
  <c r="K43" i="7"/>
  <c r="L43" i="7" s="1"/>
  <c r="K45" i="7"/>
  <c r="L25" i="7"/>
  <c r="K25" i="7"/>
  <c r="J25" i="7"/>
  <c r="I63" i="3" s="1"/>
  <c r="J63" i="3" s="1"/>
  <c r="K63" i="3" s="1"/>
  <c r="L63" i="3" s="1"/>
  <c r="L22" i="7"/>
  <c r="I23" i="7"/>
  <c r="I25" i="7" s="1"/>
  <c r="J11" i="7"/>
  <c r="I59" i="3" s="1"/>
  <c r="I60" i="3" s="1"/>
  <c r="J60" i="3" s="1"/>
  <c r="K60" i="3" s="1"/>
  <c r="L60" i="3" s="1"/>
  <c r="J12" i="7"/>
  <c r="I61" i="3" s="1"/>
  <c r="I62" i="3" s="1"/>
  <c r="J62" i="3" s="1"/>
  <c r="K62" i="3" s="1"/>
  <c r="L62" i="3" s="1"/>
  <c r="I10" i="7"/>
  <c r="J10" i="7" s="1"/>
  <c r="K71" i="7" l="1"/>
  <c r="L71" i="7" s="1"/>
  <c r="J8" i="7"/>
  <c r="K8" i="7" s="1"/>
  <c r="L8" i="7" s="1"/>
  <c r="J9" i="7"/>
  <c r="F29" i="3"/>
  <c r="H17" i="3"/>
  <c r="H31" i="3"/>
  <c r="I10" i="3"/>
  <c r="G18" i="3"/>
  <c r="H18" i="3" s="1"/>
  <c r="E40" i="3"/>
  <c r="H23" i="3"/>
  <c r="H9" i="1"/>
  <c r="F17" i="3"/>
  <c r="E28" i="3"/>
  <c r="F28" i="3" s="1"/>
  <c r="E33" i="3"/>
  <c r="F33" i="3" s="1"/>
  <c r="F31" i="3"/>
  <c r="E10" i="3"/>
  <c r="F11" i="3"/>
  <c r="F20" i="3"/>
  <c r="G10" i="1"/>
  <c r="E26" i="3"/>
  <c r="F26" i="3" s="1"/>
  <c r="E24" i="3"/>
  <c r="E14" i="3"/>
  <c r="F14" i="3" s="1"/>
  <c r="F74" i="3"/>
  <c r="E73" i="3"/>
  <c r="F12" i="3"/>
  <c r="I67" i="7"/>
  <c r="I68" i="7" s="1"/>
  <c r="F41" i="3"/>
  <c r="F71" i="3"/>
  <c r="J68" i="7"/>
  <c r="K68" i="7" s="1"/>
  <c r="L68" i="7" s="1"/>
  <c r="K11" i="7"/>
  <c r="L11" i="7" s="1"/>
  <c r="I76" i="3"/>
  <c r="J76" i="3" s="1"/>
  <c r="K76" i="3" s="1"/>
  <c r="L76" i="3" s="1"/>
  <c r="F49" i="3"/>
  <c r="K53" i="7"/>
  <c r="L53" i="7" s="1"/>
  <c r="E56" i="3"/>
  <c r="F56" i="3" s="1"/>
  <c r="E62" i="3"/>
  <c r="F62" i="3" s="1"/>
  <c r="K10" i="7"/>
  <c r="L10" i="7" s="1"/>
  <c r="K9" i="7"/>
  <c r="E42" i="3"/>
  <c r="F42" i="3" s="1"/>
  <c r="E48" i="3"/>
  <c r="F48" i="3" s="1"/>
  <c r="E75" i="3"/>
  <c r="F75" i="3" s="1"/>
  <c r="F52" i="3"/>
  <c r="E77" i="3"/>
  <c r="F77" i="3" s="1"/>
  <c r="F59" i="3"/>
  <c r="E54" i="3"/>
  <c r="F54" i="3" s="1"/>
  <c r="F45" i="3"/>
  <c r="K12" i="7"/>
  <c r="L12" i="7" s="1"/>
  <c r="E44" i="3"/>
  <c r="F44" i="3" s="1"/>
  <c r="F43" i="3"/>
  <c r="G26" i="3"/>
  <c r="H26" i="3" s="1"/>
  <c r="G24" i="3"/>
  <c r="H27" i="3"/>
  <c r="I52" i="3"/>
  <c r="J52" i="3" s="1"/>
  <c r="K52" i="3" s="1"/>
  <c r="L52" i="3" s="1"/>
  <c r="J61" i="3"/>
  <c r="K61" i="3" s="1"/>
  <c r="L61" i="3" s="1"/>
  <c r="J59" i="3"/>
  <c r="K59" i="3" s="1"/>
  <c r="L59" i="3" s="1"/>
  <c r="J45" i="3"/>
  <c r="K45" i="3" s="1"/>
  <c r="L45" i="3" s="1"/>
  <c r="I42" i="3"/>
  <c r="J42" i="3" s="1"/>
  <c r="K42" i="3" s="1"/>
  <c r="L42" i="3" s="1"/>
  <c r="I64" i="3"/>
  <c r="J64" i="3" s="1"/>
  <c r="K64" i="3" s="1"/>
  <c r="L64" i="3" s="1"/>
  <c r="J41" i="3"/>
  <c r="K41" i="3" s="1"/>
  <c r="L41" i="3" s="1"/>
  <c r="I44" i="3"/>
  <c r="J44" i="3" s="1"/>
  <c r="K44" i="3" s="1"/>
  <c r="L44" i="3" s="1"/>
  <c r="I9" i="7"/>
  <c r="I66" i="7" l="1"/>
  <c r="K72" i="7"/>
  <c r="L72" i="7" s="1"/>
  <c r="L9" i="7"/>
  <c r="H8" i="1"/>
  <c r="I9" i="1"/>
  <c r="H24" i="3"/>
  <c r="K10" i="3"/>
  <c r="L10" i="3" s="1"/>
  <c r="J10" i="3"/>
  <c r="H10" i="3"/>
  <c r="D80" i="3"/>
  <c r="D36" i="3"/>
  <c r="F24" i="3"/>
  <c r="F73" i="3"/>
  <c r="F10" i="3"/>
  <c r="F9" i="1"/>
  <c r="F12" i="1"/>
  <c r="G12" i="1" s="1"/>
  <c r="I77" i="3"/>
  <c r="J77" i="3" s="1"/>
  <c r="K77" i="3" s="1"/>
  <c r="L77" i="3" s="1"/>
  <c r="F13" i="1"/>
  <c r="G13" i="1" s="1"/>
  <c r="F40" i="3"/>
  <c r="I8" i="1" l="1"/>
  <c r="F8" i="1"/>
  <c r="G9" i="1"/>
  <c r="G8" i="1" s="1"/>
  <c r="F11" i="1"/>
  <c r="G11" i="1"/>
  <c r="F14" i="1" l="1"/>
  <c r="G14" i="1" s="1"/>
  <c r="E6" i="7"/>
  <c r="F6" i="7" l="1"/>
  <c r="F2" i="7"/>
  <c r="K79" i="7"/>
  <c r="L79" i="7" s="1"/>
  <c r="L44" i="7"/>
  <c r="K63" i="7"/>
  <c r="L63" i="7"/>
  <c r="K64" i="7"/>
  <c r="L64" i="7"/>
  <c r="I54" i="7"/>
  <c r="I55" i="7"/>
  <c r="I50" i="7"/>
  <c r="I43" i="7"/>
  <c r="I22" i="7"/>
  <c r="K78" i="7"/>
  <c r="L78" i="7" s="1"/>
  <c r="J64" i="7"/>
  <c r="J48" i="7"/>
  <c r="I49" i="7"/>
  <c r="I42" i="7"/>
  <c r="I53" i="7"/>
  <c r="I52" i="7" s="1"/>
  <c r="J44" i="7"/>
  <c r="J19" i="7"/>
  <c r="J20" i="7"/>
  <c r="I44" i="7" l="1"/>
  <c r="I45" i="7" s="1"/>
  <c r="I71" i="3"/>
  <c r="K44" i="7"/>
  <c r="I19" i="7"/>
  <c r="K19" i="7"/>
  <c r="L19" i="7" s="1"/>
  <c r="I47" i="3"/>
  <c r="J47" i="7"/>
  <c r="K48" i="7"/>
  <c r="L48" i="7" s="1"/>
  <c r="I64" i="7"/>
  <c r="J62" i="7"/>
  <c r="I62" i="7" s="1"/>
  <c r="I53" i="3"/>
  <c r="I20" i="7"/>
  <c r="I49" i="3"/>
  <c r="K20" i="7"/>
  <c r="L20" i="7" s="1"/>
  <c r="K62" i="7"/>
  <c r="K61" i="7" s="1"/>
  <c r="J40" i="7"/>
  <c r="I41" i="7"/>
  <c r="I63" i="7"/>
  <c r="I48" i="7"/>
  <c r="J77" i="7"/>
  <c r="L62" i="7"/>
  <c r="J61" i="7" l="1"/>
  <c r="I18" i="7"/>
  <c r="K18" i="7"/>
  <c r="L18" i="7" s="1"/>
  <c r="J53" i="3"/>
  <c r="K53" i="3" s="1"/>
  <c r="L53" i="3" s="1"/>
  <c r="I54" i="3"/>
  <c r="J54" i="3" s="1"/>
  <c r="K54" i="3" s="1"/>
  <c r="L54" i="3" s="1"/>
  <c r="I40" i="7"/>
  <c r="K40" i="7"/>
  <c r="L40" i="7" s="1"/>
  <c r="I74" i="3"/>
  <c r="J75" i="7"/>
  <c r="J76" i="7" s="1"/>
  <c r="J46" i="7"/>
  <c r="L47" i="7"/>
  <c r="L46" i="7" s="1"/>
  <c r="K47" i="7"/>
  <c r="J17" i="7"/>
  <c r="I72" i="3"/>
  <c r="J72" i="3" s="1"/>
  <c r="K72" i="3" s="1"/>
  <c r="L72" i="3" s="1"/>
  <c r="J71" i="3"/>
  <c r="K71" i="3" s="1"/>
  <c r="L71" i="3" s="1"/>
  <c r="I48" i="3"/>
  <c r="J48" i="3" s="1"/>
  <c r="K48" i="3" s="1"/>
  <c r="L48" i="3" s="1"/>
  <c r="J47" i="3"/>
  <c r="K47" i="3" s="1"/>
  <c r="L47" i="3" s="1"/>
  <c r="I47" i="7"/>
  <c r="J49" i="3"/>
  <c r="K49" i="3" s="1"/>
  <c r="L49" i="3" s="1"/>
  <c r="I50" i="3"/>
  <c r="J50" i="3" s="1"/>
  <c r="K50" i="3" s="1"/>
  <c r="L50" i="3" s="1"/>
  <c r="I61" i="7"/>
  <c r="J51" i="7"/>
  <c r="J39" i="7"/>
  <c r="K77" i="7"/>
  <c r="I77" i="7"/>
  <c r="I76" i="7" s="1"/>
  <c r="I75" i="7" s="1"/>
  <c r="L61" i="7"/>
  <c r="K39" i="7" l="1"/>
  <c r="J21" i="7"/>
  <c r="I21" i="7" s="1"/>
  <c r="K17" i="7"/>
  <c r="L17" i="7" s="1"/>
  <c r="J16" i="7"/>
  <c r="J7" i="7" s="1"/>
  <c r="I40" i="3"/>
  <c r="J40" i="3" s="1"/>
  <c r="K40" i="3" s="1"/>
  <c r="L40" i="3" s="1"/>
  <c r="L77" i="7"/>
  <c r="L75" i="7" s="1"/>
  <c r="L76" i="7" s="1"/>
  <c r="K75" i="7"/>
  <c r="K76" i="7" s="1"/>
  <c r="I51" i="7"/>
  <c r="K51" i="7"/>
  <c r="L51" i="7" s="1"/>
  <c r="J38" i="7"/>
  <c r="I46" i="7"/>
  <c r="K46" i="7"/>
  <c r="J74" i="3"/>
  <c r="K74" i="3" s="1"/>
  <c r="L74" i="3" s="1"/>
  <c r="I73" i="3"/>
  <c r="J73" i="3" s="1"/>
  <c r="K73" i="3" s="1"/>
  <c r="L73" i="3" s="1"/>
  <c r="I75" i="3"/>
  <c r="J75" i="3" s="1"/>
  <c r="K75" i="3" s="1"/>
  <c r="L75" i="3" s="1"/>
  <c r="I39" i="7"/>
  <c r="I17" i="7"/>
  <c r="I78" i="7"/>
  <c r="I79" i="7" s="1"/>
  <c r="I7" i="7" l="1"/>
  <c r="J6" i="7"/>
  <c r="I6" i="7" s="1"/>
  <c r="L39" i="7"/>
  <c r="L21" i="7" s="1"/>
  <c r="K21" i="7"/>
  <c r="I38" i="7"/>
  <c r="K38" i="7"/>
  <c r="L38" i="7" s="1"/>
  <c r="I16" i="7"/>
  <c r="K16" i="7"/>
  <c r="H55" i="3"/>
  <c r="H56" i="3"/>
  <c r="H61" i="3"/>
  <c r="H62" i="3"/>
  <c r="H63" i="3"/>
  <c r="H71" i="3"/>
  <c r="H73" i="3"/>
  <c r="H74" i="3"/>
  <c r="H76" i="3"/>
  <c r="H78" i="3"/>
  <c r="G45" i="3"/>
  <c r="G46" i="3" s="1"/>
  <c r="H46" i="3" s="1"/>
  <c r="G43" i="3"/>
  <c r="H43" i="3" s="1"/>
  <c r="G41" i="3"/>
  <c r="G77" i="3"/>
  <c r="H77" i="3" s="1"/>
  <c r="G79" i="3"/>
  <c r="H79" i="3" s="1"/>
  <c r="G75" i="3"/>
  <c r="H75" i="3" s="1"/>
  <c r="G72" i="3"/>
  <c r="H72" i="3" s="1"/>
  <c r="G69" i="3"/>
  <c r="G70" i="3" s="1"/>
  <c r="H70" i="3" s="1"/>
  <c r="G65" i="3"/>
  <c r="G66" i="3" s="1"/>
  <c r="H66" i="3" s="1"/>
  <c r="G64" i="3"/>
  <c r="G60" i="3"/>
  <c r="G51" i="3"/>
  <c r="G52" i="3" s="1"/>
  <c r="G49" i="3"/>
  <c r="G50" i="3" s="1"/>
  <c r="H50" i="3" s="1"/>
  <c r="G48" i="3"/>
  <c r="G44" i="3"/>
  <c r="H44" i="3" s="1"/>
  <c r="G6" i="7"/>
  <c r="H6" i="7" s="1"/>
  <c r="H82" i="7"/>
  <c r="G83" i="7"/>
  <c r="G84" i="7" s="1"/>
  <c r="H84" i="7" s="1"/>
  <c r="H81" i="7"/>
  <c r="F81" i="7"/>
  <c r="F80" i="7" s="1"/>
  <c r="E81" i="7"/>
  <c r="E80" i="7" s="1"/>
  <c r="H80" i="7"/>
  <c r="G75" i="7"/>
  <c r="H75" i="7" s="1"/>
  <c r="H11" i="7"/>
  <c r="H12" i="7"/>
  <c r="H19" i="7"/>
  <c r="H20" i="7"/>
  <c r="H24" i="7"/>
  <c r="H25" i="7"/>
  <c r="H26" i="7"/>
  <c r="H28" i="7"/>
  <c r="H29" i="7"/>
  <c r="H30" i="7"/>
  <c r="H32" i="7"/>
  <c r="H34" i="7"/>
  <c r="H41" i="7"/>
  <c r="H42" i="7"/>
  <c r="H43" i="7"/>
  <c r="H44" i="7"/>
  <c r="H45" i="7"/>
  <c r="H49" i="7"/>
  <c r="H50" i="7"/>
  <c r="H54" i="7"/>
  <c r="H55" i="7"/>
  <c r="H63" i="7"/>
  <c r="H64" i="7"/>
  <c r="H66" i="7"/>
  <c r="H67" i="7"/>
  <c r="H68" i="7"/>
  <c r="H69" i="7"/>
  <c r="H73" i="7"/>
  <c r="H74" i="7"/>
  <c r="H76" i="7"/>
  <c r="G9" i="7"/>
  <c r="G8" i="7" s="1"/>
  <c r="H8" i="7" s="1"/>
  <c r="G77" i="7"/>
  <c r="G70" i="7"/>
  <c r="H70" i="7" s="1"/>
  <c r="G65" i="7"/>
  <c r="H65" i="7" s="1"/>
  <c r="E53" i="7"/>
  <c r="H61" i="7"/>
  <c r="G53" i="7"/>
  <c r="H53" i="7" s="1"/>
  <c r="G48" i="7"/>
  <c r="G47" i="7" s="1"/>
  <c r="E44" i="7"/>
  <c r="G40" i="7"/>
  <c r="G39" i="7" s="1"/>
  <c r="G23" i="7"/>
  <c r="H23" i="7" s="1"/>
  <c r="H27" i="7"/>
  <c r="G33" i="7"/>
  <c r="G18" i="7"/>
  <c r="G17" i="7" s="1"/>
  <c r="E47" i="7"/>
  <c r="E46" i="7" s="1"/>
  <c r="E69" i="7"/>
  <c r="F69" i="7" s="1"/>
  <c r="F74" i="7"/>
  <c r="F73" i="7"/>
  <c r="E76" i="7"/>
  <c r="E75" i="7" s="1"/>
  <c r="F78" i="7"/>
  <c r="F79" i="7"/>
  <c r="F77" i="7"/>
  <c r="F76" i="7" s="1"/>
  <c r="F75" i="7" s="1"/>
  <c r="F71" i="7"/>
  <c r="F72" i="7"/>
  <c r="F70" i="7"/>
  <c r="F68" i="7"/>
  <c r="E67" i="7"/>
  <c r="E66" i="7" s="1"/>
  <c r="E52" i="7"/>
  <c r="F64" i="7"/>
  <c r="F63" i="7"/>
  <c r="F61" i="7" s="1"/>
  <c r="F55" i="7"/>
  <c r="F52" i="7" s="1"/>
  <c r="F49" i="7"/>
  <c r="F50" i="7"/>
  <c r="F48" i="7"/>
  <c r="F47" i="7" s="1"/>
  <c r="F46" i="7" s="1"/>
  <c r="F45" i="7"/>
  <c r="F44" i="7" s="1"/>
  <c r="F41" i="7"/>
  <c r="F42" i="7"/>
  <c r="F43" i="7"/>
  <c r="E40" i="7"/>
  <c r="E39" i="7" s="1"/>
  <c r="F19" i="7"/>
  <c r="F20" i="7"/>
  <c r="F16" i="7"/>
  <c r="F10" i="7"/>
  <c r="F11" i="7"/>
  <c r="F12" i="7"/>
  <c r="F9" i="7"/>
  <c r="F7" i="7" s="1"/>
  <c r="H33" i="7" l="1"/>
  <c r="G31" i="7"/>
  <c r="G22" i="7" s="1"/>
  <c r="L16" i="7"/>
  <c r="L7" i="7" s="1"/>
  <c r="K7" i="7"/>
  <c r="K6" i="7" s="1"/>
  <c r="H77" i="7"/>
  <c r="H64" i="3"/>
  <c r="G42" i="3"/>
  <c r="H42" i="3" s="1"/>
  <c r="G47" i="3"/>
  <c r="H47" i="3" s="1"/>
  <c r="H52" i="3"/>
  <c r="H60" i="3"/>
  <c r="E51" i="7"/>
  <c r="H48" i="3"/>
  <c r="F67" i="7"/>
  <c r="F51" i="7"/>
  <c r="G71" i="7"/>
  <c r="H71" i="7" s="1"/>
  <c r="H31" i="7"/>
  <c r="G78" i="7"/>
  <c r="G79" i="7" s="1"/>
  <c r="H79" i="7" s="1"/>
  <c r="G52" i="7"/>
  <c r="G86" i="7" s="1"/>
  <c r="G67" i="3"/>
  <c r="G68" i="3" s="1"/>
  <c r="H68" i="3" s="1"/>
  <c r="H40" i="7"/>
  <c r="H22" i="7"/>
  <c r="G38" i="7"/>
  <c r="H38" i="7" s="1"/>
  <c r="H39" i="7"/>
  <c r="G16" i="7"/>
  <c r="H16" i="7" s="1"/>
  <c r="H17" i="7"/>
  <c r="G46" i="7"/>
  <c r="H46" i="7" s="1"/>
  <c r="H47" i="7"/>
  <c r="F66" i="7"/>
  <c r="F65" i="7" s="1"/>
  <c r="E65" i="7"/>
  <c r="G51" i="7"/>
  <c r="H51" i="7" s="1"/>
  <c r="H9" i="7"/>
  <c r="H83" i="7"/>
  <c r="F53" i="7"/>
  <c r="H48" i="7"/>
  <c r="H69" i="3"/>
  <c r="H45" i="3"/>
  <c r="H18" i="7"/>
  <c r="F40" i="7"/>
  <c r="H59" i="3"/>
  <c r="E16" i="7"/>
  <c r="H41" i="3"/>
  <c r="H65" i="3"/>
  <c r="H51" i="3"/>
  <c r="H49" i="3"/>
  <c r="F39" i="7"/>
  <c r="F21" i="7" s="1"/>
  <c r="E38" i="7"/>
  <c r="F38" i="7" l="1"/>
  <c r="E21" i="7"/>
  <c r="H52" i="7"/>
  <c r="G87" i="7"/>
  <c r="H67" i="3"/>
  <c r="G72" i="7"/>
  <c r="H78" i="7"/>
  <c r="H72" i="7"/>
  <c r="G53" i="3"/>
  <c r="G40" i="3" s="1"/>
  <c r="H12" i="1" l="1"/>
  <c r="I12" i="1" s="1"/>
  <c r="G81" i="3"/>
  <c r="H11" i="1"/>
  <c r="H14" i="1" s="1"/>
  <c r="G54" i="3"/>
  <c r="H53" i="3"/>
  <c r="H40" i="3"/>
  <c r="I11" i="1" l="1"/>
  <c r="I14" i="1"/>
  <c r="H54" i="3"/>
</calcChain>
</file>

<file path=xl/sharedStrings.xml><?xml version="1.0" encoding="utf-8"?>
<sst xmlns="http://schemas.openxmlformats.org/spreadsheetml/2006/main" count="416" uniqueCount="196">
  <si>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</si>
  <si>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</si>
  <si>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</si>
  <si>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</si>
  <si>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</si>
  <si>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</si>
  <si>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</si>
  <si>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</si>
  <si>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</si>
  <si>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</si>
  <si>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</si>
  <si>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</si>
  <si>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</si>
  <si>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</si>
  <si>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</si>
  <si>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</si>
  <si>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</si>
  <si>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</si>
  <si>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</si>
  <si>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</si>
  <si>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</si>
  <si>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</si>
  <si>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</si>
  <si>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</si>
  <si>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</si>
  <si>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</si>
  <si>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</si>
  <si>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</si>
  <si>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</si>
  <si>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BROJČANA OZNAKA I NAZIV</t>
  </si>
  <si>
    <t>UKUPNI RASHODI</t>
  </si>
  <si>
    <t>II. POSEBNI DIO</t>
  </si>
  <si>
    <t>I. OPĆI DIO</t>
  </si>
  <si>
    <t>Šifra</t>
  </si>
  <si>
    <t xml:space="preserve">Naziv </t>
  </si>
  <si>
    <t>Materijalni rashodi</t>
  </si>
  <si>
    <t>A) SAŽETAK RAČUNA PRIHODA I RASHODA</t>
  </si>
  <si>
    <t>B) SAŽETAK RAČUNA FINANCIRANJA</t>
  </si>
  <si>
    <t>Izvršenje 2021.**</t>
  </si>
  <si>
    <t>Plan 2022.**</t>
  </si>
  <si>
    <t>UKUPAN DONOS VIŠKA / MANJKA IZ PRETHODNE(IH) GODINE***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</si>
  <si>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</si>
  <si>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</si>
  <si>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</si>
  <si>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</si>
  <si>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</si>
  <si>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Prihodi od prodaje proizvedene dugotrajne imovine</t>
  </si>
  <si>
    <t>Pomoći iz inozemstva i od subjekata unutar općeg proračuna</t>
  </si>
  <si>
    <t>FINANCIJSKI PLAN PRORAČUNSKOG KORISNIKA JEDINICE LOKALNE I PODRUČNE (REGIONALNE) SAMOUPRAVE 
ZA 2023. I PROJEKCIJA ZA 2024. I 2025. GODINU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</si>
  <si>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</si>
  <si>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</si>
  <si>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Financijski rashodi</t>
  </si>
  <si>
    <t>EUR</t>
  </si>
  <si>
    <t>KN</t>
  </si>
  <si>
    <t>T805404</t>
  </si>
  <si>
    <t xml:space="preserve">REDOVNA DJELATNOST OSNOVNOG OBRAZOVANJA </t>
  </si>
  <si>
    <t>Rashodi za zasposlene</t>
  </si>
  <si>
    <t>DEC funkcije-iznad minimalnog financijskog standarda</t>
  </si>
  <si>
    <t>A805502</t>
  </si>
  <si>
    <t>Ostali projekti u osnovnom školstvu</t>
  </si>
  <si>
    <t>Naknade građanima  (učenicima)</t>
  </si>
  <si>
    <t>A805506</t>
  </si>
  <si>
    <t>Produženi boravak</t>
  </si>
  <si>
    <t>A805523</t>
  </si>
  <si>
    <t>Stručno razvojne službe</t>
  </si>
  <si>
    <t>A805536</t>
  </si>
  <si>
    <t>Asistent u nastavi</t>
  </si>
  <si>
    <t>A805539</t>
  </si>
  <si>
    <t>Nabava školskih udžbenika</t>
  </si>
  <si>
    <t>Rashodi za nabavu proizvedene dugotrajne  imovine</t>
  </si>
  <si>
    <t>A805540</t>
  </si>
  <si>
    <t>Shema školskog voća</t>
  </si>
  <si>
    <t>A805401</t>
  </si>
  <si>
    <t>Materijalni I financijski rashodi</t>
  </si>
  <si>
    <t>Financijski  rashodi</t>
  </si>
  <si>
    <t>Kapitalno ulaganje u školstvo-minimalni standard</t>
  </si>
  <si>
    <t>K805602</t>
  </si>
  <si>
    <t>Školska oprema</t>
  </si>
  <si>
    <t>8054</t>
  </si>
  <si>
    <t>DEC funkcije-minimalni standard</t>
  </si>
  <si>
    <t xml:space="preserve">PRIHODI ZA POSEBENE NAMJENE </t>
  </si>
  <si>
    <t xml:space="preserve">MINISTARSTVO  ZNANOSTI I OBRAZOVANJA </t>
  </si>
  <si>
    <t xml:space="preserve">VLASTITI PRIHODI </t>
  </si>
  <si>
    <t>OPĆI PRIHODI I PRIMICI</t>
  </si>
  <si>
    <t>DONACIJE</t>
  </si>
  <si>
    <t>POMOĆI</t>
  </si>
  <si>
    <t>IZVOR 31</t>
  </si>
  <si>
    <t>IZVOR 49</t>
  </si>
  <si>
    <t>IZVOR 25</t>
  </si>
  <si>
    <t>IZVOR 11</t>
  </si>
  <si>
    <t>IZVOR 55</t>
  </si>
  <si>
    <t>IZVOR 44</t>
  </si>
  <si>
    <t xml:space="preserve">Rashodi za zaposlene </t>
  </si>
  <si>
    <t>IZVOR 42</t>
  </si>
  <si>
    <t xml:space="preserve">DONACIJE </t>
  </si>
  <si>
    <t>Kapitalno ulaganje u školstvo-IZNAD MIN.FIN. STANDARDA</t>
  </si>
  <si>
    <t>K8057002</t>
  </si>
  <si>
    <t>Školske zgrade</t>
  </si>
  <si>
    <t>Rashodiza dodadtna ulaganja na ne.fin. Imovini</t>
  </si>
  <si>
    <t xml:space="preserve">EUR </t>
  </si>
  <si>
    <t>Pomoći iz dr.pr.za plaće te ostale rashode za zaposlene</t>
  </si>
  <si>
    <t xml:space="preserve">EU fondovi - Pomoći </t>
  </si>
  <si>
    <t>Prihodi za posebne namjene</t>
  </si>
  <si>
    <t>vlastiti prihodi</t>
  </si>
  <si>
    <t>Nakndae građanima</t>
  </si>
  <si>
    <t>Donacije</t>
  </si>
  <si>
    <t>Rashodi za nabavu dugotrajne imovine</t>
  </si>
  <si>
    <t>Plan za 2024.</t>
  </si>
  <si>
    <t>Plan za 2025.</t>
  </si>
  <si>
    <t>PRIJEDOLOG FINANCIJSKIOG PLANA OSNOVNE ŠKOLE MARINA GETALDIĆA
ZA 2023. I PROJEKCIJA ZA 2024. I 2025. GODINU</t>
  </si>
  <si>
    <t>Rashodi za dodadtna ulaganja na ne financijskoj Imovini</t>
  </si>
  <si>
    <t>Pomoći iz državnog proračuna za plaće te ostale rashode za zaposlene</t>
  </si>
  <si>
    <t xml:space="preserve">Prihodi od financijske imovine </t>
  </si>
  <si>
    <t>Vlastiti prihodi</t>
  </si>
  <si>
    <t>Prihodi od prodaje proizvoda i robe te pruženih usluga</t>
  </si>
  <si>
    <t>Donacije i ostali namjenski prihodi</t>
  </si>
  <si>
    <t>Prihodi od upravnih i administivnih pristojbi</t>
  </si>
  <si>
    <t>Prihodi od nadležnog proračuna i od HZZO-a temeljem ugovornih obveza</t>
  </si>
  <si>
    <t xml:space="preserve">Opći prihodi i primici </t>
  </si>
  <si>
    <t>PRIHODI</t>
  </si>
  <si>
    <t xml:space="preserve">Ostvarenje/
izvršenje 2021. </t>
  </si>
  <si>
    <t>Indeks</t>
  </si>
  <si>
    <t>Izvor: 11 Opći prihodi i primici</t>
  </si>
  <si>
    <t>671 Prihodi iz nadležnog proračuna za fin.red. djelatnosti pro.kor.</t>
  </si>
  <si>
    <t>67111 Prihodi za financiranje rashoda poslovanja</t>
  </si>
  <si>
    <t>Izvor: 31 Potpore za decentralizirane izdatke</t>
  </si>
  <si>
    <t>67121 Prihodi za financ,rashoda za nab.nefinanc.imovine</t>
  </si>
  <si>
    <t>Izvor: 44 EU fondovi - pomoći</t>
  </si>
  <si>
    <t>Izvor:42 Namjenske pomoći</t>
  </si>
  <si>
    <t>Izvor: 49 Pomoći državnog proračuna za plaće te ostale rashode za zaposlene</t>
  </si>
  <si>
    <t>636 Tekuće pomoći pror.kor. iz proračuna koji im nije nadležan</t>
  </si>
  <si>
    <t>63612 Tekuće pomoći pr.kor.iz proračuna koji im nije nadležan</t>
  </si>
  <si>
    <t>Izvor: 25 Vlastiti prihodi proračunskih korisnika</t>
  </si>
  <si>
    <t>641 Prihodi od financijske imovine</t>
  </si>
  <si>
    <t>64132 Kamate na depozite po viđenju</t>
  </si>
  <si>
    <t>661 Prihodi koje proračuni i pr. kor.ostvare obavljanjem poslova na tržištu (vlastiti prihodi)</t>
  </si>
  <si>
    <t>66151 Prihodi od pruženih usluga</t>
  </si>
  <si>
    <t xml:space="preserve">Izvor: 55 Donacije i ostali namjenski prihodi proračunskih korisnika </t>
  </si>
  <si>
    <t>63613 Tekuće pomoći proračunskim kor.iz proračuna JLP(R)S koji im nije nad.</t>
  </si>
  <si>
    <t>63622 Kapitalne pomići iz državnog proračuna JLP(R)S</t>
  </si>
  <si>
    <t>652 Prihodi po posebnim propisima</t>
  </si>
  <si>
    <t>65264 Sufinanciranje cijene usluge, participacije i sl.</t>
  </si>
  <si>
    <t>65267 Prihodi s naslova osiguranja, refundacije štete i totalne štete</t>
  </si>
  <si>
    <t>65268 Ostali  prihodi za posebne namjene</t>
  </si>
  <si>
    <t>721 Prihodi od prodaje građevinskih objekata</t>
  </si>
  <si>
    <t>72119 Ostali stambeni objekti</t>
  </si>
  <si>
    <t xml:space="preserve">Izvor: 29 Višak prensenih prihoda i primitaka proračunskih korisnika </t>
  </si>
  <si>
    <t>Višak</t>
  </si>
  <si>
    <t>ukupno</t>
  </si>
  <si>
    <t>Izvor fin.</t>
  </si>
  <si>
    <t>Konto</t>
  </si>
  <si>
    <t>Naziv Konto</t>
  </si>
  <si>
    <t>rebalans +/-</t>
  </si>
  <si>
    <t>NOVI PLAN</t>
  </si>
  <si>
    <t>REBALANS 2 LISTOPAD</t>
  </si>
  <si>
    <t>Vlastiti prihodi proračunskih korisnika</t>
  </si>
  <si>
    <t>25</t>
  </si>
  <si>
    <t>66151</t>
  </si>
  <si>
    <t>Prihodi od pruženih usluga</t>
  </si>
  <si>
    <t>49</t>
  </si>
  <si>
    <t>63612</t>
  </si>
  <si>
    <t>Tekuće pomoći proračunskim korisnicima iz proračuna koji im nije nadležan</t>
  </si>
  <si>
    <t>Donacije i ostali namjenski prihodi proračunskih korisnika</t>
  </si>
  <si>
    <t>55</t>
  </si>
  <si>
    <t>63622</t>
  </si>
  <si>
    <t>Kapitalne pomoći iz državnog proračuna proračunskim korisnicima proračuna JLP(R)S</t>
  </si>
  <si>
    <t>Tekuće pomoći proračunskim korisnicima iz proračuna JLP(  R) S koji im nije nadležan</t>
  </si>
  <si>
    <t>64132</t>
  </si>
  <si>
    <t>Kamate na depozite po viđenju</t>
  </si>
  <si>
    <t>65264</t>
  </si>
  <si>
    <t>Sufinanciranje cijene usluge, participacije i slično</t>
  </si>
  <si>
    <t xml:space="preserve">Prihodi s naslova osiguranja, refundacije štete i totalne štete </t>
  </si>
  <si>
    <t xml:space="preserve">Kapitalne donacije neprofitnih organizacija </t>
  </si>
  <si>
    <t>72119</t>
  </si>
  <si>
    <t>Ostali stambeni objekti</t>
  </si>
  <si>
    <t xml:space="preserve">Manjak  prihoda poslovanja </t>
  </si>
  <si>
    <t xml:space="preserve">UKUPNO VAPROR. PRIHODI: </t>
  </si>
  <si>
    <t>PLAN</t>
  </si>
  <si>
    <t>2. REBALANS LISTOPAD</t>
  </si>
  <si>
    <t>PRIJEDLOG FINANCIJSKOG PLANA OSNOVNE ŠKOLE MARINA GETALDIĆA  
ZA 2023. I PROJEKCIJA ZA 2024. I 2025. GODINU</t>
  </si>
  <si>
    <t>eur</t>
  </si>
  <si>
    <t>Plan 2023.</t>
  </si>
  <si>
    <t>2024.</t>
  </si>
  <si>
    <t>2025.</t>
  </si>
  <si>
    <t>IZVOR</t>
  </si>
  <si>
    <t>UKUPNO</t>
  </si>
  <si>
    <t>PRIJEDLOG FINANCIJSKOG PLANA OSNOVNE ŠKOLE MARINA GETALDICA   
ZA 2023. I PROJEKCIJA ZA 2024. I 2025. GODINU</t>
  </si>
  <si>
    <t>Tekuće i investicijsko održavanje iznad mfs</t>
  </si>
  <si>
    <t>A805521</t>
  </si>
  <si>
    <t>AT805403</t>
  </si>
  <si>
    <t>Tekuće i investicijsko održavanje minimalni fin. Standard</t>
  </si>
  <si>
    <t>Višak/ manjak prihoda</t>
  </si>
  <si>
    <t>Manjak prihoda poslovanja</t>
  </si>
  <si>
    <t>09 Obrazovanje</t>
  </si>
  <si>
    <t>091 Predškolsko i osnovno obrazovanje</t>
  </si>
  <si>
    <t>18055009 UČENIČKA NATJECANJA OSNOVNIH ŠKOLA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</si>
</sst>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n&quot;_-;\-* #,##0.00\ &quot;kn&quot;_-;_-* &quot;-&quot;??\ &quot;kn&quot;_-;_-@_-"/>
    <numFmt numFmtId="164" formatCode="_-* #,##0.00\ [$€-1]_-;\-* #,##0.00\ [$€-1]_-;_-* &quot;-&quot;??\ [$€-1]_-;_-@_-"/>
    <numFmt numFmtId="165" formatCode="#,###,###,##0.00#####"/>
    <numFmt numFmtId="166" formatCode="#,##0.0000000"/>
  </numFmts>
  <fonts count="6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i/>
      <sz val="12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00009F"/>
      <name val="Times New Roman"/>
      <family val="1"/>
      <charset val="238"/>
    </font>
    <font>
      <sz val="11"/>
      <color rgb="FF0033CC"/>
      <name val="Times New Roman"/>
      <family val="1"/>
      <charset val="238"/>
    </font>
    <font>
      <sz val="10"/>
      <color indexed="8"/>
      <name val="MS Sans Serif"/>
      <family val="2"/>
      <charset val="238"/>
    </font>
    <font>
      <sz val="8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sz val="11"/>
      <color indexed="8"/>
      <name val="Calibri"/>
      <family val="2"/>
      <scheme val="minor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sz val="11"/>
      <color indexed="19"/>
      <name val="Calibri"/>
      <family val="2"/>
      <charset val="238"/>
    </font>
    <font>
      <b/>
      <i/>
      <sz val="11"/>
      <color indexed="8"/>
      <name val="Calibri"/>
      <family val="2"/>
      <charset val="238"/>
      <scheme val="minor"/>
    </font>
    <font>
      <i/>
      <sz val="14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i/>
      <sz val="11"/>
      <color indexed="8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5B3D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EB9C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6"/>
        <bgColor indexed="2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44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9" fillId="0" borderId="0"/>
    <xf numFmtId="0" fontId="32" fillId="0" borderId="0"/>
    <xf numFmtId="0" fontId="3" fillId="0" borderId="0"/>
    <xf numFmtId="0" fontId="40" fillId="0" borderId="0"/>
    <xf numFmtId="0" fontId="43" fillId="0" borderId="0"/>
    <xf numFmtId="44" fontId="43" fillId="0" borderId="0" applyFont="0" applyFill="0" applyBorder="0" applyAlignment="0" applyProtection="0"/>
    <xf numFmtId="0" fontId="51" fillId="0" borderId="0"/>
    <xf numFmtId="0" fontId="53" fillId="20" borderId="0" applyNumberFormat="0" applyBorder="0" applyAlignment="0" applyProtection="0"/>
    <xf numFmtId="0" fontId="54" fillId="18" borderId="0" applyNumberFormat="0" applyBorder="0" applyAlignment="0" applyProtection="0"/>
    <xf numFmtId="0" fontId="55" fillId="0" borderId="28" applyNumberFormat="0" applyFill="0" applyAlignment="0" applyProtection="0"/>
    <xf numFmtId="0" fontId="56" fillId="0" borderId="29" applyNumberFormat="0" applyFill="0" applyAlignment="0" applyProtection="0"/>
    <xf numFmtId="0" fontId="57" fillId="19" borderId="0" applyNumberFormat="0" applyBorder="0" applyAlignment="0" applyProtection="0"/>
    <xf numFmtId="0" fontId="52" fillId="0" borderId="0"/>
    <xf numFmtId="0" fontId="51" fillId="17" borderId="27" applyNumberFormat="0" applyAlignment="0" applyProtection="0"/>
  </cellStyleXfs>
  <cellXfs count="409">
    <xf numFmtId="0" fontId="0" fillId="0" borderId="0" xfId="0"/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 applyProtection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10" fillId="2" borderId="4" xfId="0" quotePrefix="1" applyFont="1" applyFill="1" applyBorder="1" applyAlignment="1">
      <alignment horizontal="left" vertical="center"/>
    </xf>
    <xf numFmtId="0" fontId="10" fillId="2" borderId="4" xfId="0" quotePrefix="1" applyFont="1" applyFill="1" applyBorder="1" applyAlignment="1">
      <alignment horizontal="left" vertical="center" wrapText="1"/>
    </xf>
    <xf numFmtId="4" fontId="3" fillId="2" borderId="3" xfId="0" applyNumberFormat="1" applyFont="1" applyFill="1" applyBorder="1" applyAlignment="1">
      <alignment horizontal="right"/>
    </xf>
    <xf numFmtId="0" fontId="18" fillId="0" borderId="1" xfId="0" applyNumberFormat="1" applyFont="1" applyBorder="1" applyAlignment="1">
      <alignment wrapText="1"/>
    </xf>
    <xf numFmtId="0" fontId="19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8" fillId="0" borderId="3" xfId="0" quotePrefix="1" applyFont="1" applyBorder="1" applyAlignment="1">
      <alignment horizontal="left"/>
    </xf>
    <xf numFmtId="0" fontId="18" fillId="0" borderId="3" xfId="0" applyFont="1" applyBorder="1" applyAlignment="1">
      <alignment horizontal="center"/>
    </xf>
    <xf numFmtId="0" fontId="0" fillId="0" borderId="3" xfId="0" applyBorder="1"/>
    <xf numFmtId="0" fontId="21" fillId="0" borderId="3" xfId="0" quotePrefix="1" applyFont="1" applyBorder="1" applyAlignment="1">
      <alignment horizontal="left"/>
    </xf>
    <xf numFmtId="0" fontId="6" fillId="4" borderId="2" xfId="0" applyNumberFormat="1" applyFont="1" applyFill="1" applyBorder="1" applyAlignment="1" applyProtection="1">
      <alignment horizontal="center" vertical="center" wrapText="1"/>
    </xf>
    <xf numFmtId="0" fontId="6" fillId="4" borderId="1" xfId="0" applyNumberFormat="1" applyFont="1" applyFill="1" applyBorder="1" applyAlignment="1" applyProtection="1">
      <alignment vertical="center"/>
    </xf>
    <xf numFmtId="0" fontId="22" fillId="0" borderId="3" xfId="0" applyFont="1" applyBorder="1" applyAlignment="1">
      <alignment horizontal="right"/>
    </xf>
    <xf numFmtId="0" fontId="11" fillId="7" borderId="3" xfId="0" quotePrefix="1" applyFont="1" applyFill="1" applyBorder="1" applyAlignment="1">
      <alignment horizontal="right"/>
    </xf>
    <xf numFmtId="0" fontId="11" fillId="7" borderId="3" xfId="0" applyFont="1" applyFill="1" applyBorder="1" applyAlignment="1">
      <alignment horizontal="right"/>
    </xf>
    <xf numFmtId="0" fontId="11" fillId="9" borderId="3" xfId="0" quotePrefix="1" applyFont="1" applyFill="1" applyBorder="1" applyAlignment="1">
      <alignment horizontal="right"/>
    </xf>
    <xf numFmtId="0" fontId="11" fillId="10" borderId="3" xfId="0" applyFont="1" applyFill="1" applyBorder="1" applyAlignment="1">
      <alignment horizontal="right"/>
    </xf>
    <xf numFmtId="0" fontId="11" fillId="8" borderId="1" xfId="0" applyNumberFormat="1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right"/>
    </xf>
    <xf numFmtId="0" fontId="19" fillId="10" borderId="3" xfId="0" quotePrefix="1" applyFont="1" applyFill="1" applyBorder="1" applyAlignment="1">
      <alignment horizontal="right"/>
    </xf>
    <xf numFmtId="0" fontId="19" fillId="11" borderId="3" xfId="0" quotePrefix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0" fontId="23" fillId="0" borderId="0" xfId="0" applyNumberFormat="1" applyFont="1" applyFill="1" applyBorder="1" applyAlignment="1" applyProtection="1">
      <alignment horizontal="center" vertical="center" wrapText="1"/>
    </xf>
    <xf numFmtId="3" fontId="6" fillId="2" borderId="4" xfId="0" applyNumberFormat="1" applyFont="1" applyFill="1" applyBorder="1" applyAlignment="1">
      <alignment horizontal="right"/>
    </xf>
    <xf numFmtId="0" fontId="6" fillId="2" borderId="3" xfId="0" applyFont="1" applyFill="1" applyBorder="1" applyAlignment="1">
      <alignment horizontal="center"/>
    </xf>
    <xf numFmtId="3" fontId="6" fillId="2" borderId="3" xfId="0" applyNumberFormat="1" applyFont="1" applyFill="1" applyBorder="1" applyAlignment="1">
      <alignment horizontal="right"/>
    </xf>
    <xf numFmtId="0" fontId="6" fillId="10" borderId="3" xfId="0" applyFont="1" applyFill="1" applyBorder="1" applyAlignment="1">
      <alignment horizontal="center"/>
    </xf>
    <xf numFmtId="4" fontId="6" fillId="4" borderId="3" xfId="0" applyNumberFormat="1" applyFont="1" applyFill="1" applyBorder="1" applyAlignment="1" applyProtection="1">
      <alignment horizontal="center" vertical="center" wrapText="1"/>
    </xf>
    <xf numFmtId="4" fontId="17" fillId="4" borderId="3" xfId="0" applyNumberFormat="1" applyFont="1" applyFill="1" applyBorder="1" applyAlignment="1" applyProtection="1">
      <alignment horizontal="center" vertical="center" wrapText="1"/>
    </xf>
    <xf numFmtId="4" fontId="6" fillId="2" borderId="3" xfId="0" applyNumberFormat="1" applyFont="1" applyFill="1" applyBorder="1" applyAlignment="1">
      <alignment horizontal="right"/>
    </xf>
    <xf numFmtId="3" fontId="0" fillId="0" borderId="3" xfId="0" applyNumberFormat="1" applyBorder="1"/>
    <xf numFmtId="0" fontId="6" fillId="0" borderId="0" xfId="0" applyNumberFormat="1" applyFont="1" applyFill="1" applyBorder="1" applyAlignment="1" applyProtection="1">
      <alignment horizontal="center" vertical="center" wrapText="1"/>
    </xf>
    <xf numFmtId="3" fontId="6" fillId="7" borderId="4" xfId="0" applyNumberFormat="1" applyFont="1" applyFill="1" applyBorder="1" applyAlignment="1">
      <alignment horizontal="right"/>
    </xf>
    <xf numFmtId="4" fontId="6" fillId="7" borderId="3" xfId="0" applyNumberFormat="1" applyFont="1" applyFill="1" applyBorder="1" applyAlignment="1">
      <alignment horizontal="right"/>
    </xf>
    <xf numFmtId="3" fontId="6" fillId="7" borderId="3" xfId="0" applyNumberFormat="1" applyFont="1" applyFill="1" applyBorder="1" applyAlignment="1">
      <alignment horizontal="right"/>
    </xf>
    <xf numFmtId="3" fontId="6" fillId="8" borderId="4" xfId="0" applyNumberFormat="1" applyFont="1" applyFill="1" applyBorder="1" applyAlignment="1">
      <alignment horizontal="right"/>
    </xf>
    <xf numFmtId="4" fontId="6" fillId="8" borderId="3" xfId="0" applyNumberFormat="1" applyFont="1" applyFill="1" applyBorder="1" applyAlignment="1">
      <alignment horizontal="right"/>
    </xf>
    <xf numFmtId="3" fontId="6" fillId="8" borderId="3" xfId="0" applyNumberFormat="1" applyFont="1" applyFill="1" applyBorder="1" applyAlignment="1">
      <alignment horizontal="right"/>
    </xf>
    <xf numFmtId="3" fontId="6" fillId="9" borderId="4" xfId="0" applyNumberFormat="1" applyFont="1" applyFill="1" applyBorder="1" applyAlignment="1">
      <alignment horizontal="right"/>
    </xf>
    <xf numFmtId="4" fontId="6" fillId="9" borderId="3" xfId="0" applyNumberFormat="1" applyFont="1" applyFill="1" applyBorder="1" applyAlignment="1">
      <alignment horizontal="right"/>
    </xf>
    <xf numFmtId="3" fontId="6" fillId="9" borderId="3" xfId="0" applyNumberFormat="1" applyFont="1" applyFill="1" applyBorder="1" applyAlignment="1">
      <alignment horizontal="right"/>
    </xf>
    <xf numFmtId="3" fontId="3" fillId="10" borderId="4" xfId="0" applyNumberFormat="1" applyFont="1" applyFill="1" applyBorder="1" applyAlignment="1">
      <alignment horizontal="right"/>
    </xf>
    <xf numFmtId="4" fontId="11" fillId="10" borderId="3" xfId="0" applyNumberFormat="1" applyFont="1" applyFill="1" applyBorder="1" applyAlignment="1">
      <alignment horizontal="right"/>
    </xf>
    <xf numFmtId="3" fontId="3" fillId="10" borderId="3" xfId="0" applyNumberFormat="1" applyFont="1" applyFill="1" applyBorder="1" applyAlignment="1" applyProtection="1">
      <alignment horizontal="right" wrapText="1"/>
    </xf>
    <xf numFmtId="3" fontId="6" fillId="10" borderId="4" xfId="0" applyNumberFormat="1" applyFont="1" applyFill="1" applyBorder="1" applyAlignment="1">
      <alignment horizontal="right"/>
    </xf>
    <xf numFmtId="4" fontId="6" fillId="10" borderId="3" xfId="0" applyNumberFormat="1" applyFont="1" applyFill="1" applyBorder="1" applyAlignment="1">
      <alignment horizontal="right"/>
    </xf>
    <xf numFmtId="3" fontId="6" fillId="10" borderId="3" xfId="0" applyNumberFormat="1" applyFont="1" applyFill="1" applyBorder="1" applyAlignment="1">
      <alignment horizontal="right"/>
    </xf>
    <xf numFmtId="3" fontId="6" fillId="12" borderId="4" xfId="0" applyNumberFormat="1" applyFont="1" applyFill="1" applyBorder="1" applyAlignment="1">
      <alignment horizontal="right"/>
    </xf>
    <xf numFmtId="4" fontId="6" fillId="12" borderId="3" xfId="0" applyNumberFormat="1" applyFont="1" applyFill="1" applyBorder="1" applyAlignment="1">
      <alignment horizontal="right"/>
    </xf>
    <xf numFmtId="3" fontId="6" fillId="12" borderId="3" xfId="0" applyNumberFormat="1" applyFont="1" applyFill="1" applyBorder="1" applyAlignment="1">
      <alignment horizontal="right"/>
    </xf>
    <xf numFmtId="4" fontId="3" fillId="12" borderId="3" xfId="0" applyNumberFormat="1" applyFont="1" applyFill="1" applyBorder="1" applyAlignment="1">
      <alignment horizontal="right"/>
    </xf>
    <xf numFmtId="3" fontId="3" fillId="12" borderId="3" xfId="0" applyNumberFormat="1" applyFont="1" applyFill="1" applyBorder="1" applyAlignment="1">
      <alignment horizontal="right"/>
    </xf>
    <xf numFmtId="0" fontId="6" fillId="12" borderId="3" xfId="0" applyFont="1" applyFill="1" applyBorder="1" applyAlignment="1">
      <alignment horizontal="right"/>
    </xf>
    <xf numFmtId="0" fontId="11" fillId="12" borderId="3" xfId="0" quotePrefix="1" applyFont="1" applyFill="1" applyBorder="1" applyAlignment="1">
      <alignment horizontal="right"/>
    </xf>
    <xf numFmtId="0" fontId="3" fillId="12" borderId="3" xfId="0" applyFont="1" applyFill="1" applyBorder="1" applyAlignment="1">
      <alignment horizontal="center"/>
    </xf>
    <xf numFmtId="3" fontId="3" fillId="12" borderId="4" xfId="0" applyNumberFormat="1" applyFont="1" applyFill="1" applyBorder="1" applyAlignment="1">
      <alignment horizontal="right"/>
    </xf>
    <xf numFmtId="0" fontId="11" fillId="5" borderId="3" xfId="0" quotePrefix="1" applyFont="1" applyFill="1" applyBorder="1" applyAlignment="1">
      <alignment horizontal="right"/>
    </xf>
    <xf numFmtId="0" fontId="11" fillId="10" borderId="3" xfId="0" quotePrefix="1" applyFont="1" applyFill="1" applyBorder="1" applyAlignment="1">
      <alignment horizontal="right"/>
    </xf>
    <xf numFmtId="0" fontId="6" fillId="13" borderId="3" xfId="0" quotePrefix="1" applyFont="1" applyFill="1" applyBorder="1" applyAlignment="1">
      <alignment horizontal="left" vertical="center"/>
    </xf>
    <xf numFmtId="0" fontId="20" fillId="13" borderId="3" xfId="0" quotePrefix="1" applyFont="1" applyFill="1" applyBorder="1" applyAlignment="1">
      <alignment horizontal="left"/>
    </xf>
    <xf numFmtId="0" fontId="6" fillId="13" borderId="3" xfId="0" quotePrefix="1" applyFont="1" applyFill="1" applyBorder="1" applyAlignment="1">
      <alignment horizontal="left"/>
    </xf>
    <xf numFmtId="0" fontId="11" fillId="0" borderId="3" xfId="0" applyFont="1" applyBorder="1" applyAlignment="1">
      <alignment horizontal="center"/>
    </xf>
    <xf numFmtId="0" fontId="18" fillId="2" borderId="3" xfId="0" quotePrefix="1" applyFont="1" applyFill="1" applyBorder="1" applyAlignment="1">
      <alignment horizontal="left"/>
    </xf>
    <xf numFmtId="3" fontId="6" fillId="5" borderId="4" xfId="0" applyNumberFormat="1" applyFont="1" applyFill="1" applyBorder="1" applyAlignment="1">
      <alignment horizontal="right"/>
    </xf>
    <xf numFmtId="4" fontId="6" fillId="5" borderId="3" xfId="0" applyNumberFormat="1" applyFont="1" applyFill="1" applyBorder="1" applyAlignment="1">
      <alignment horizontal="right"/>
    </xf>
    <xf numFmtId="3" fontId="6" fillId="5" borderId="3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164" fontId="6" fillId="4" borderId="3" xfId="0" applyNumberFormat="1" applyFont="1" applyFill="1" applyBorder="1" applyAlignment="1" applyProtection="1">
      <alignment horizontal="center" vertical="center" wrapText="1"/>
    </xf>
    <xf numFmtId="164" fontId="6" fillId="8" borderId="3" xfId="0" applyNumberFormat="1" applyFont="1" applyFill="1" applyBorder="1" applyAlignment="1">
      <alignment horizontal="right"/>
    </xf>
    <xf numFmtId="164" fontId="6" fillId="9" borderId="3" xfId="0" applyNumberFormat="1" applyFont="1" applyFill="1" applyBorder="1" applyAlignment="1">
      <alignment horizontal="right"/>
    </xf>
    <xf numFmtId="164" fontId="6" fillId="7" borderId="3" xfId="0" applyNumberFormat="1" applyFont="1" applyFill="1" applyBorder="1" applyAlignment="1">
      <alignment horizontal="right"/>
    </xf>
    <xf numFmtId="164" fontId="6" fillId="10" borderId="3" xfId="0" applyNumberFormat="1" applyFont="1" applyFill="1" applyBorder="1" applyAlignment="1">
      <alignment horizontal="right"/>
    </xf>
    <xf numFmtId="164" fontId="6" fillId="2" borderId="3" xfId="0" applyNumberFormat="1" applyFont="1" applyFill="1" applyBorder="1" applyAlignment="1">
      <alignment horizontal="right"/>
    </xf>
    <xf numFmtId="164" fontId="6" fillId="12" borderId="3" xfId="0" applyNumberFormat="1" applyFont="1" applyFill="1" applyBorder="1" applyAlignment="1">
      <alignment horizontal="right"/>
    </xf>
    <xf numFmtId="164" fontId="6" fillId="5" borderId="3" xfId="0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/>
    <xf numFmtId="164" fontId="1" fillId="0" borderId="0" xfId="0" applyNumberFormat="1" applyFont="1"/>
    <xf numFmtId="0" fontId="6" fillId="0" borderId="0" xfId="0" applyNumberFormat="1" applyFont="1" applyFill="1" applyBorder="1" applyAlignment="1" applyProtection="1">
      <alignment vertical="center" wrapText="1"/>
    </xf>
    <xf numFmtId="4" fontId="6" fillId="15" borderId="4" xfId="0" applyNumberFormat="1" applyFont="1" applyFill="1" applyBorder="1" applyAlignment="1">
      <alignment horizontal="right"/>
    </xf>
    <xf numFmtId="4" fontId="6" fillId="15" borderId="3" xfId="0" applyNumberFormat="1" applyFont="1" applyFill="1" applyBorder="1" applyAlignment="1">
      <alignment horizontal="right"/>
    </xf>
    <xf numFmtId="164" fontId="6" fillId="15" borderId="3" xfId="0" applyNumberFormat="1" applyFont="1" applyFill="1" applyBorder="1" applyAlignment="1">
      <alignment horizontal="right"/>
    </xf>
    <xf numFmtId="4" fontId="3" fillId="15" borderId="3" xfId="0" applyNumberFormat="1" applyFont="1" applyFill="1" applyBorder="1" applyAlignment="1">
      <alignment horizontal="right"/>
    </xf>
    <xf numFmtId="3" fontId="6" fillId="15" borderId="3" xfId="0" applyNumberFormat="1" applyFont="1" applyFill="1" applyBorder="1" applyAlignment="1">
      <alignment horizontal="right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4" fontId="27" fillId="0" borderId="0" xfId="0" applyNumberFormat="1" applyFont="1" applyFill="1" applyBorder="1" applyAlignment="1" applyProtection="1">
      <alignment horizontal="center" vertical="center" wrapText="1"/>
    </xf>
    <xf numFmtId="4" fontId="28" fillId="0" borderId="0" xfId="0" applyNumberFormat="1" applyFont="1" applyFill="1" applyBorder="1" applyAlignment="1" applyProtection="1">
      <alignment horizontal="center" vertical="center" wrapText="1"/>
    </xf>
    <xf numFmtId="4" fontId="27" fillId="4" borderId="3" xfId="0" applyNumberFormat="1" applyFont="1" applyFill="1" applyBorder="1" applyAlignment="1" applyProtection="1">
      <alignment horizontal="center" vertical="center" wrapText="1"/>
    </xf>
    <xf numFmtId="4" fontId="27" fillId="2" borderId="3" xfId="0" applyNumberFormat="1" applyFont="1" applyFill="1" applyBorder="1" applyAlignment="1">
      <alignment horizontal="right"/>
    </xf>
    <xf numFmtId="4" fontId="27" fillId="15" borderId="3" xfId="0" applyNumberFormat="1" applyFont="1" applyFill="1" applyBorder="1" applyAlignment="1">
      <alignment horizontal="right"/>
    </xf>
    <xf numFmtId="4" fontId="27" fillId="8" borderId="3" xfId="0" applyNumberFormat="1" applyFont="1" applyFill="1" applyBorder="1" applyAlignment="1">
      <alignment horizontal="right"/>
    </xf>
    <xf numFmtId="4" fontId="27" fillId="9" borderId="3" xfId="0" applyNumberFormat="1" applyFont="1" applyFill="1" applyBorder="1" applyAlignment="1">
      <alignment horizontal="right"/>
    </xf>
    <xf numFmtId="4" fontId="27" fillId="7" borderId="3" xfId="0" applyNumberFormat="1" applyFont="1" applyFill="1" applyBorder="1" applyAlignment="1">
      <alignment horizontal="right"/>
    </xf>
    <xf numFmtId="4" fontId="27" fillId="10" borderId="3" xfId="0" applyNumberFormat="1" applyFont="1" applyFill="1" applyBorder="1" applyAlignment="1">
      <alignment horizontal="right"/>
    </xf>
    <xf numFmtId="4" fontId="27" fillId="12" borderId="3" xfId="0" applyNumberFormat="1" applyFont="1" applyFill="1" applyBorder="1" applyAlignment="1">
      <alignment horizontal="right"/>
    </xf>
    <xf numFmtId="4" fontId="27" fillId="5" borderId="3" xfId="0" applyNumberFormat="1" applyFont="1" applyFill="1" applyBorder="1" applyAlignment="1">
      <alignment horizontal="right"/>
    </xf>
    <xf numFmtId="4" fontId="29" fillId="0" borderId="0" xfId="0" applyNumberFormat="1" applyFont="1"/>
    <xf numFmtId="4" fontId="31" fillId="4" borderId="3" xfId="0" applyNumberFormat="1" applyFont="1" applyFill="1" applyBorder="1" applyAlignment="1" applyProtection="1">
      <alignment horizontal="center" vertical="center" wrapText="1"/>
    </xf>
    <xf numFmtId="3" fontId="0" fillId="0" borderId="0" xfId="0" applyNumberFormat="1"/>
    <xf numFmtId="0" fontId="0" fillId="0" borderId="0" xfId="0"/>
    <xf numFmtId="0" fontId="34" fillId="0" borderId="0" xfId="0" applyFont="1"/>
    <xf numFmtId="0" fontId="35" fillId="0" borderId="0" xfId="0" applyFont="1"/>
    <xf numFmtId="4" fontId="34" fillId="0" borderId="0" xfId="0" applyNumberFormat="1" applyFont="1"/>
    <xf numFmtId="4" fontId="37" fillId="16" borderId="0" xfId="0" applyNumberFormat="1" applyFont="1" applyFill="1"/>
    <xf numFmtId="4" fontId="0" fillId="0" borderId="0" xfId="0" applyNumberFormat="1"/>
    <xf numFmtId="0" fontId="38" fillId="3" borderId="8" xfId="0" applyNumberFormat="1" applyFont="1" applyFill="1" applyBorder="1"/>
    <xf numFmtId="4" fontId="38" fillId="3" borderId="22" xfId="0" applyNumberFormat="1" applyFont="1" applyFill="1" applyBorder="1"/>
    <xf numFmtId="10" fontId="33" fillId="3" borderId="8" xfId="2" applyNumberFormat="1" applyFont="1" applyFill="1" applyBorder="1"/>
    <xf numFmtId="10" fontId="33" fillId="3" borderId="3" xfId="2" applyNumberFormat="1" applyFont="1" applyFill="1" applyBorder="1"/>
    <xf numFmtId="0" fontId="37" fillId="2" borderId="11" xfId="0" applyNumberFormat="1" applyFont="1" applyFill="1" applyBorder="1"/>
    <xf numFmtId="4" fontId="37" fillId="2" borderId="9" xfId="0" applyNumberFormat="1" applyFont="1" applyFill="1" applyBorder="1"/>
    <xf numFmtId="4" fontId="37" fillId="2" borderId="10" xfId="0" applyNumberFormat="1" applyFont="1" applyFill="1" applyBorder="1"/>
    <xf numFmtId="10" fontId="33" fillId="2" borderId="8" xfId="2" applyNumberFormat="1" applyFont="1" applyFill="1" applyBorder="1"/>
    <xf numFmtId="10" fontId="33" fillId="2" borderId="3" xfId="2" applyNumberFormat="1" applyFont="1" applyFill="1" applyBorder="1"/>
    <xf numFmtId="0" fontId="33" fillId="2" borderId="11" xfId="0" applyNumberFormat="1" applyFont="1" applyFill="1" applyBorder="1"/>
    <xf numFmtId="4" fontId="33" fillId="2" borderId="9" xfId="0" applyNumberFormat="1" applyFont="1" applyFill="1" applyBorder="1"/>
    <xf numFmtId="0" fontId="38" fillId="3" borderId="1" xfId="0" applyNumberFormat="1" applyFont="1" applyFill="1" applyBorder="1"/>
    <xf numFmtId="4" fontId="38" fillId="3" borderId="9" xfId="0" applyNumberFormat="1" applyFont="1" applyFill="1" applyBorder="1"/>
    <xf numFmtId="4" fontId="38" fillId="3" borderId="10" xfId="0" applyNumberFormat="1" applyFont="1" applyFill="1" applyBorder="1"/>
    <xf numFmtId="0" fontId="33" fillId="2" borderId="2" xfId="0" applyNumberFormat="1" applyFont="1" applyFill="1" applyBorder="1"/>
    <xf numFmtId="0" fontId="39" fillId="3" borderId="2" xfId="0" applyNumberFormat="1" applyFont="1" applyFill="1" applyBorder="1"/>
    <xf numFmtId="4" fontId="39" fillId="3" borderId="25" xfId="0" applyNumberFormat="1" applyFont="1" applyFill="1" applyBorder="1"/>
    <xf numFmtId="0" fontId="33" fillId="2" borderId="2" xfId="0" applyNumberFormat="1" applyFont="1" applyFill="1" applyBorder="1" applyAlignment="1">
      <alignment horizontal="left"/>
    </xf>
    <xf numFmtId="4" fontId="37" fillId="2" borderId="25" xfId="0" applyNumberFormat="1" applyFont="1" applyFill="1" applyBorder="1"/>
    <xf numFmtId="4" fontId="33" fillId="2" borderId="10" xfId="0" applyNumberFormat="1" applyFont="1" applyFill="1" applyBorder="1"/>
    <xf numFmtId="0" fontId="37" fillId="2" borderId="11" xfId="0" applyNumberFormat="1" applyFont="1" applyFill="1" applyBorder="1" applyAlignment="1">
      <alignment wrapText="1"/>
    </xf>
    <xf numFmtId="0" fontId="33" fillId="2" borderId="12" xfId="0" applyNumberFormat="1" applyFont="1" applyFill="1" applyBorder="1"/>
    <xf numFmtId="4" fontId="33" fillId="2" borderId="13" xfId="0" applyNumberFormat="1" applyFont="1" applyFill="1" applyBorder="1"/>
    <xf numFmtId="0" fontId="33" fillId="2" borderId="14" xfId="0" applyNumberFormat="1" applyFont="1" applyFill="1" applyBorder="1"/>
    <xf numFmtId="4" fontId="33" fillId="2" borderId="15" xfId="0" applyNumberFormat="1" applyFont="1" applyFill="1" applyBorder="1"/>
    <xf numFmtId="0" fontId="33" fillId="2" borderId="16" xfId="0" applyNumberFormat="1" applyFont="1" applyFill="1" applyBorder="1"/>
    <xf numFmtId="4" fontId="33" fillId="2" borderId="17" xfId="0" applyNumberFormat="1" applyFont="1" applyFill="1" applyBorder="1"/>
    <xf numFmtId="0" fontId="37" fillId="2" borderId="23" xfId="0" applyNumberFormat="1" applyFont="1" applyFill="1" applyBorder="1"/>
    <xf numFmtId="4" fontId="37" fillId="2" borderId="22" xfId="0" applyNumberFormat="1" applyFont="1" applyFill="1" applyBorder="1"/>
    <xf numFmtId="0" fontId="37" fillId="2" borderId="23" xfId="0" applyNumberFormat="1" applyFont="1" applyFill="1" applyBorder="1" applyAlignment="1">
      <alignment horizontal="left"/>
    </xf>
    <xf numFmtId="4" fontId="33" fillId="2" borderId="22" xfId="0" applyNumberFormat="1" applyFont="1" applyFill="1" applyBorder="1"/>
    <xf numFmtId="0" fontId="33" fillId="2" borderId="18" xfId="0" applyNumberFormat="1" applyFont="1" applyFill="1" applyBorder="1"/>
    <xf numFmtId="4" fontId="33" fillId="2" borderId="19" xfId="0" applyNumberFormat="1" applyFont="1" applyFill="1" applyBorder="1"/>
    <xf numFmtId="0" fontId="33" fillId="2" borderId="24" xfId="0" applyNumberFormat="1" applyFont="1" applyFill="1" applyBorder="1" applyAlignment="1">
      <alignment horizontal="left"/>
    </xf>
    <xf numFmtId="4" fontId="33" fillId="2" borderId="6" xfId="0" applyNumberFormat="1" applyFont="1" applyFill="1" applyBorder="1"/>
    <xf numFmtId="0" fontId="33" fillId="2" borderId="20" xfId="0" applyNumberFormat="1" applyFont="1" applyFill="1" applyBorder="1"/>
    <xf numFmtId="4" fontId="33" fillId="2" borderId="21" xfId="0" applyNumberFormat="1" applyFont="1" applyFill="1" applyBorder="1"/>
    <xf numFmtId="0" fontId="37" fillId="2" borderId="3" xfId="0" applyNumberFormat="1" applyFont="1" applyFill="1" applyBorder="1" applyAlignment="1">
      <alignment horizontal="center"/>
    </xf>
    <xf numFmtId="4" fontId="10" fillId="2" borderId="4" xfId="0" quotePrefix="1" applyNumberFormat="1" applyFont="1" applyFill="1" applyBorder="1" applyAlignment="1">
      <alignment horizontal="left" vertical="center"/>
    </xf>
    <xf numFmtId="4" fontId="9" fillId="2" borderId="4" xfId="0" applyNumberFormat="1" applyFont="1" applyFill="1" applyBorder="1" applyAlignment="1" applyProtection="1">
      <alignment horizontal="left" vertical="center" wrapText="1"/>
    </xf>
    <xf numFmtId="4" fontId="10" fillId="2" borderId="4" xfId="0" quotePrefix="1" applyNumberFormat="1" applyFont="1" applyFill="1" applyBorder="1" applyAlignment="1">
      <alignment horizontal="left" vertical="center" wrapText="1"/>
    </xf>
    <xf numFmtId="4" fontId="11" fillId="2" borderId="4" xfId="0" applyNumberFormat="1" applyFont="1" applyFill="1" applyBorder="1" applyAlignment="1" applyProtection="1">
      <alignment horizontal="left" vertical="center" wrapText="1"/>
    </xf>
    <xf numFmtId="0" fontId="42" fillId="0" borderId="0" xfId="0" applyNumberFormat="1" applyFont="1" applyFill="1" applyBorder="1" applyAlignment="1" applyProtection="1">
      <alignment horizontal="center" vertical="center" wrapText="1"/>
    </xf>
    <xf numFmtId="0" fontId="43" fillId="0" borderId="0" xfId="7"/>
    <xf numFmtId="4" fontId="43" fillId="0" borderId="0" xfId="7" applyNumberFormat="1"/>
    <xf numFmtId="4" fontId="45" fillId="0" borderId="0" xfId="7" applyNumberFormat="1" applyFont="1"/>
    <xf numFmtId="4" fontId="45" fillId="7" borderId="0" xfId="7" applyNumberFormat="1" applyFont="1" applyFill="1"/>
    <xf numFmtId="0" fontId="43" fillId="0" borderId="0" xfId="7" applyFill="1"/>
    <xf numFmtId="0" fontId="45" fillId="0" borderId="0" xfId="7" applyFont="1" applyFill="1"/>
    <xf numFmtId="0" fontId="46" fillId="0" borderId="0" xfId="7" applyFont="1" applyFill="1"/>
    <xf numFmtId="0" fontId="44" fillId="14" borderId="26" xfId="7" applyFont="1" applyFill="1" applyBorder="1" applyAlignment="1">
      <alignment horizontal="center"/>
    </xf>
    <xf numFmtId="0" fontId="44" fillId="14" borderId="7" xfId="7" applyFont="1" applyFill="1" applyBorder="1"/>
    <xf numFmtId="0" fontId="44" fillId="0" borderId="0" xfId="7" applyFont="1" applyFill="1" applyBorder="1" applyAlignment="1">
      <alignment horizontal="center"/>
    </xf>
    <xf numFmtId="0" fontId="45" fillId="0" borderId="0" xfId="7" applyFont="1"/>
    <xf numFmtId="0" fontId="45" fillId="0" borderId="0" xfId="7" applyFont="1" applyAlignment="1">
      <alignment horizontal="right"/>
    </xf>
    <xf numFmtId="0" fontId="43" fillId="0" borderId="0" xfId="7" applyFill="1" applyAlignment="1">
      <alignment horizontal="left"/>
    </xf>
    <xf numFmtId="166" fontId="45" fillId="0" borderId="0" xfId="7" applyNumberFormat="1" applyFont="1"/>
    <xf numFmtId="165" fontId="44" fillId="0" borderId="3" xfId="7" applyNumberFormat="1" applyFont="1" applyFill="1" applyBorder="1" applyAlignment="1">
      <alignment horizontal="right"/>
    </xf>
    <xf numFmtId="165" fontId="43" fillId="0" borderId="3" xfId="7" applyNumberFormat="1" applyFill="1" applyBorder="1" applyAlignment="1">
      <alignment horizontal="right"/>
    </xf>
    <xf numFmtId="165" fontId="43" fillId="0" borderId="3" xfId="7" applyNumberFormat="1" applyBorder="1"/>
    <xf numFmtId="165" fontId="45" fillId="0" borderId="3" xfId="7" applyNumberFormat="1" applyFont="1" applyFill="1" applyBorder="1" applyAlignment="1">
      <alignment horizontal="right"/>
    </xf>
    <xf numFmtId="165" fontId="45" fillId="0" borderId="3" xfId="7" applyNumberFormat="1" applyFont="1" applyBorder="1"/>
    <xf numFmtId="0" fontId="43" fillId="0" borderId="3" xfId="7" applyBorder="1"/>
    <xf numFmtId="0" fontId="48" fillId="0" borderId="0" xfId="7" applyFont="1" applyFill="1" applyAlignment="1">
      <alignment horizontal="left"/>
    </xf>
    <xf numFmtId="2" fontId="49" fillId="0" borderId="3" xfId="8" applyNumberFormat="1" applyFont="1" applyBorder="1"/>
    <xf numFmtId="2" fontId="43" fillId="0" borderId="3" xfId="7" applyNumberFormat="1" applyBorder="1"/>
    <xf numFmtId="165" fontId="49" fillId="0" borderId="3" xfId="7" applyNumberFormat="1" applyFont="1" applyBorder="1"/>
    <xf numFmtId="4" fontId="49" fillId="0" borderId="3" xfId="7" applyNumberFormat="1" applyFont="1" applyBorder="1"/>
    <xf numFmtId="166" fontId="43" fillId="0" borderId="0" xfId="7" applyNumberFormat="1"/>
    <xf numFmtId="4" fontId="45" fillId="7" borderId="3" xfId="7" applyNumberFormat="1" applyFont="1" applyFill="1" applyBorder="1"/>
    <xf numFmtId="0" fontId="45" fillId="0" borderId="0" xfId="7" applyFont="1" applyAlignment="1">
      <alignment horizontal="center" wrapText="1"/>
    </xf>
    <xf numFmtId="0" fontId="45" fillId="0" borderId="0" xfId="7" applyFont="1" applyAlignment="1">
      <alignment horizontal="center" vertical="center"/>
    </xf>
    <xf numFmtId="165" fontId="45" fillId="0" borderId="0" xfId="7" applyNumberFormat="1" applyFont="1"/>
    <xf numFmtId="0" fontId="44" fillId="7" borderId="3" xfId="7" applyFont="1" applyFill="1" applyBorder="1" applyAlignment="1">
      <alignment horizontal="center"/>
    </xf>
    <xf numFmtId="4" fontId="44" fillId="7" borderId="3" xfId="7" applyNumberFormat="1" applyFont="1" applyFill="1" applyBorder="1" applyAlignment="1">
      <alignment horizontal="center"/>
    </xf>
    <xf numFmtId="0" fontId="45" fillId="7" borderId="0" xfId="7" applyFont="1" applyFill="1" applyAlignment="1">
      <alignment horizontal="center" wrapText="1"/>
    </xf>
    <xf numFmtId="0" fontId="45" fillId="7" borderId="0" xfId="7" applyFont="1" applyFill="1" applyAlignment="1">
      <alignment horizontal="center" vertical="center"/>
    </xf>
    <xf numFmtId="165" fontId="45" fillId="7" borderId="0" xfId="7" applyNumberFormat="1" applyFont="1" applyFill="1"/>
    <xf numFmtId="0" fontId="1" fillId="0" borderId="0" xfId="7" applyFont="1" applyFill="1" applyAlignment="1">
      <alignment horizontal="left"/>
    </xf>
    <xf numFmtId="0" fontId="1" fillId="0" borderId="0" xfId="7" applyFont="1" applyFill="1"/>
    <xf numFmtId="0" fontId="50" fillId="0" borderId="0" xfId="7" applyFont="1" applyFill="1" applyAlignment="1">
      <alignment horizontal="left"/>
    </xf>
    <xf numFmtId="3" fontId="2" fillId="0" borderId="0" xfId="0" applyNumberFormat="1" applyFont="1" applyFill="1" applyBorder="1" applyAlignment="1" applyProtection="1">
      <alignment horizontal="center" vertical="center" wrapText="1"/>
    </xf>
    <xf numFmtId="0" fontId="43" fillId="0" borderId="0" xfId="7"/>
    <xf numFmtId="4" fontId="43" fillId="0" borderId="0" xfId="7" applyNumberFormat="1"/>
    <xf numFmtId="4" fontId="43" fillId="0" borderId="0" xfId="7" applyNumberFormat="1" applyAlignment="1">
      <alignment horizontal="right"/>
    </xf>
    <xf numFmtId="4" fontId="43" fillId="16" borderId="0" xfId="7" applyNumberFormat="1" applyFill="1"/>
    <xf numFmtId="4" fontId="43" fillId="0" borderId="3" xfId="7" applyNumberFormat="1" applyBorder="1"/>
    <xf numFmtId="4" fontId="50" fillId="0" borderId="0" xfId="7" applyNumberFormat="1" applyFont="1"/>
    <xf numFmtId="4" fontId="47" fillId="21" borderId="0" xfId="7" applyNumberFormat="1" applyFont="1" applyFill="1"/>
    <xf numFmtId="4" fontId="45" fillId="8" borderId="3" xfId="7" applyNumberFormat="1" applyFont="1" applyFill="1" applyBorder="1"/>
    <xf numFmtId="4" fontId="58" fillId="8" borderId="3" xfId="7" applyNumberFormat="1" applyFont="1" applyFill="1" applyBorder="1" applyAlignment="1">
      <alignment horizontal="center"/>
    </xf>
    <xf numFmtId="4" fontId="58" fillId="8" borderId="3" xfId="7" applyNumberFormat="1" applyFont="1" applyFill="1" applyBorder="1" applyAlignment="1">
      <alignment horizontal="center" wrapText="1"/>
    </xf>
    <xf numFmtId="4" fontId="58" fillId="8" borderId="3" xfId="7" applyNumberFormat="1" applyFont="1" applyFill="1" applyBorder="1"/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left"/>
    </xf>
    <xf numFmtId="3" fontId="6" fillId="0" borderId="4" xfId="0" applyNumberFormat="1" applyFont="1" applyFill="1" applyBorder="1" applyAlignment="1">
      <alignment horizontal="right"/>
    </xf>
    <xf numFmtId="0" fontId="1" fillId="0" borderId="3" xfId="0" applyFont="1" applyBorder="1"/>
    <xf numFmtId="3" fontId="1" fillId="0" borderId="0" xfId="0" applyNumberFormat="1" applyFont="1"/>
    <xf numFmtId="0" fontId="59" fillId="0" borderId="0" xfId="0" applyNumberFormat="1" applyFont="1" applyFill="1" applyBorder="1" applyAlignment="1" applyProtection="1">
      <alignment horizontal="center" vertical="center" wrapText="1"/>
    </xf>
    <xf numFmtId="0" fontId="60" fillId="4" borderId="3" xfId="0" applyNumberFormat="1" applyFont="1" applyFill="1" applyBorder="1" applyAlignment="1" applyProtection="1">
      <alignment horizontal="center" vertical="center" wrapText="1"/>
    </xf>
    <xf numFmtId="3" fontId="60" fillId="2" borderId="3" xfId="0" applyNumberFormat="1" applyFont="1" applyFill="1" applyBorder="1" applyAlignment="1">
      <alignment horizontal="right"/>
    </xf>
    <xf numFmtId="4" fontId="60" fillId="2" borderId="3" xfId="0" applyNumberFormat="1" applyFont="1" applyFill="1" applyBorder="1" applyAlignment="1">
      <alignment horizontal="right"/>
    </xf>
    <xf numFmtId="0" fontId="61" fillId="0" borderId="0" xfId="0" applyFont="1"/>
    <xf numFmtId="0" fontId="60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NumberFormat="1" applyFont="1" applyFill="1" applyBorder="1" applyAlignment="1" applyProtection="1">
      <alignment horizontal="center" vertical="center" wrapText="1"/>
    </xf>
    <xf numFmtId="0" fontId="63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NumberFormat="1" applyFont="1" applyFill="1" applyBorder="1" applyAlignment="1" applyProtection="1">
      <alignment vertical="center" wrapText="1"/>
    </xf>
    <xf numFmtId="3" fontId="9" fillId="2" borderId="4" xfId="0" applyNumberFormat="1" applyFont="1" applyFill="1" applyBorder="1" applyAlignment="1" applyProtection="1">
      <alignment horizontal="left" vertical="center" wrapText="1"/>
    </xf>
    <xf numFmtId="3" fontId="10" fillId="2" borderId="4" xfId="0" quotePrefix="1" applyNumberFormat="1" applyFont="1" applyFill="1" applyBorder="1" applyAlignment="1">
      <alignment horizontal="left" vertical="center"/>
    </xf>
    <xf numFmtId="3" fontId="9" fillId="2" borderId="4" xfId="0" quotePrefix="1" applyNumberFormat="1" applyFont="1" applyFill="1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41" fillId="0" borderId="0" xfId="0" applyNumberFormat="1" applyFont="1" applyFill="1" applyBorder="1" applyAlignment="1" applyProtection="1">
      <alignment horizontal="left" wrapText="1"/>
    </xf>
    <xf numFmtId="0" fontId="0" fillId="0" borderId="0" xfId="0"/>
    <xf numFmtId="4" fontId="0" fillId="0" borderId="0" xfId="0" applyNumberFormat="1"/>
    <xf numFmtId="0" fontId="6" fillId="22" borderId="3" xfId="0" applyFont="1" applyFill="1" applyBorder="1" applyAlignment="1">
      <alignment horizontal="center" wrapText="1"/>
    </xf>
    <xf numFmtId="3" fontId="3" fillId="22" borderId="4" xfId="0" applyNumberFormat="1" applyFont="1" applyFill="1" applyBorder="1" applyAlignment="1">
      <alignment horizontal="right"/>
    </xf>
    <xf numFmtId="4" fontId="3" fillId="22" borderId="3" xfId="0" applyNumberFormat="1" applyFont="1" applyFill="1" applyBorder="1" applyAlignment="1">
      <alignment horizontal="right"/>
    </xf>
    <xf numFmtId="164" fontId="6" fillId="22" borderId="3" xfId="0" applyNumberFormat="1" applyFont="1" applyFill="1" applyBorder="1" applyAlignment="1">
      <alignment horizontal="right"/>
    </xf>
    <xf numFmtId="4" fontId="27" fillId="22" borderId="3" xfId="0" applyNumberFormat="1" applyFont="1" applyFill="1" applyBorder="1" applyAlignment="1">
      <alignment horizontal="right"/>
    </xf>
    <xf numFmtId="3" fontId="6" fillId="22" borderId="3" xfId="0" applyNumberFormat="1" applyFont="1" applyFill="1" applyBorder="1" applyAlignment="1">
      <alignment horizontal="right"/>
    </xf>
    <xf numFmtId="3" fontId="3" fillId="22" borderId="3" xfId="0" applyNumberFormat="1" applyFont="1" applyFill="1" applyBorder="1" applyAlignment="1">
      <alignment horizontal="right"/>
    </xf>
    <xf numFmtId="3" fontId="6" fillId="22" borderId="4" xfId="0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18" fillId="0" borderId="3" xfId="0" applyFont="1" applyBorder="1" applyAlignment="1">
      <alignment horizontal="left"/>
    </xf>
    <xf numFmtId="0" fontId="6" fillId="15" borderId="1" xfId="0" applyFont="1" applyFill="1" applyBorder="1" applyAlignment="1">
      <alignment horizontal="center"/>
    </xf>
    <xf numFmtId="4" fontId="3" fillId="15" borderId="4" xfId="0" applyNumberFormat="1" applyFont="1" applyFill="1" applyBorder="1" applyAlignment="1">
      <alignment horizontal="right"/>
    </xf>
    <xf numFmtId="4" fontId="3" fillId="0" borderId="4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10" fillId="2" borderId="4" xfId="1" quotePrefix="1" applyNumberFormat="1" applyFont="1" applyFill="1" applyBorder="1" applyAlignment="1">
      <alignment horizontal="left" vertical="center"/>
    </xf>
    <xf numFmtId="3" fontId="59" fillId="0" borderId="0" xfId="0" applyNumberFormat="1" applyFont="1" applyFill="1" applyBorder="1" applyAlignment="1" applyProtection="1">
      <alignment horizontal="center" vertical="center" wrapText="1"/>
    </xf>
    <xf numFmtId="4" fontId="10" fillId="2" borderId="3" xfId="0" quotePrefix="1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 applyProtection="1">
      <alignment vertical="center" wrapText="1"/>
    </xf>
    <xf numFmtId="2" fontId="3" fillId="2" borderId="4" xfId="0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 applyProtection="1">
      <alignment vertical="center" wrapText="1"/>
    </xf>
    <xf numFmtId="0" fontId="41" fillId="0" borderId="0" xfId="0" applyNumberFormat="1" applyFont="1" applyFill="1" applyBorder="1" applyAlignment="1" applyProtection="1">
      <alignment horizontal="center" vertical="center" wrapText="1"/>
    </xf>
    <xf numFmtId="3" fontId="6" fillId="4" borderId="3" xfId="0" applyNumberFormat="1" applyFont="1" applyFill="1" applyBorder="1" applyAlignment="1" applyProtection="1">
      <alignment horizontal="center" vertical="center" wrapText="1"/>
    </xf>
    <xf numFmtId="3" fontId="3" fillId="23" borderId="4" xfId="0" applyNumberFormat="1" applyFont="1" applyFill="1" applyBorder="1" applyAlignment="1">
      <alignment horizontal="right"/>
    </xf>
    <xf numFmtId="4" fontId="3" fillId="23" borderId="3" xfId="0" applyNumberFormat="1" applyFont="1" applyFill="1" applyBorder="1" applyAlignment="1">
      <alignment horizontal="right"/>
    </xf>
    <xf numFmtId="164" fontId="6" fillId="23" borderId="3" xfId="0" applyNumberFormat="1" applyFont="1" applyFill="1" applyBorder="1" applyAlignment="1">
      <alignment horizontal="right"/>
    </xf>
    <xf numFmtId="4" fontId="27" fillId="23" borderId="3" xfId="0" applyNumberFormat="1" applyFont="1" applyFill="1" applyBorder="1" applyAlignment="1">
      <alignment horizontal="right"/>
    </xf>
    <xf numFmtId="3" fontId="6" fillId="23" borderId="3" xfId="0" applyNumberFormat="1" applyFont="1" applyFill="1" applyBorder="1" applyAlignment="1">
      <alignment horizontal="right"/>
    </xf>
    <xf numFmtId="4" fontId="6" fillId="23" borderId="3" xfId="0" applyNumberFormat="1" applyFont="1" applyFill="1" applyBorder="1" applyAlignment="1">
      <alignment horizontal="right"/>
    </xf>
    <xf numFmtId="3" fontId="6" fillId="4" borderId="4" xfId="0" applyNumberFormat="1" applyFont="1" applyFill="1" applyBorder="1" applyAlignment="1" applyProtection="1">
      <alignment horizontal="center" vertical="center" wrapText="1"/>
    </xf>
    <xf numFmtId="0" fontId="64" fillId="24" borderId="31" xfId="0" applyFont="1" applyFill="1" applyBorder="1" applyAlignment="1">
      <alignment horizontal="center" vertical="center" wrapText="1"/>
    </xf>
    <xf numFmtId="0" fontId="22" fillId="24" borderId="30" xfId="0" applyFont="1" applyFill="1" applyBorder="1" applyAlignment="1">
      <alignment horizontal="left" vertical="center" wrapText="1" indent="1"/>
    </xf>
    <xf numFmtId="0" fontId="14" fillId="0" borderId="0" xfId="0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5" fillId="15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3" fillId="0" borderId="0" xfId="0" applyFont="1" applyAlignment="1">
      <alignment vertical="center" wrapText="1"/>
    </xf>
    <xf numFmtId="0" fontId="36" fillId="16" borderId="8" xfId="0" applyFont="1" applyFill="1" applyBorder="1" applyAlignment="1">
      <alignment horizontal="center"/>
    </xf>
    <xf numFmtId="0" fontId="36" fillId="16" borderId="5" xfId="0" applyFont="1" applyFill="1" applyBorder="1" applyAlignment="1">
      <alignment horizontal="center"/>
    </xf>
    <xf numFmtId="0" fontId="30" fillId="0" borderId="0" xfId="0" applyNumberFormat="1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>
      <alignment horizontal="left" wrapText="1"/>
    </xf>
    <xf numFmtId="0" fontId="24" fillId="0" borderId="2" xfId="0" applyFont="1" applyBorder="1" applyAlignment="1">
      <alignment horizontal="left" wrapText="1"/>
    </xf>
    <xf numFmtId="0" fontId="24" fillId="0" borderId="4" xfId="0" applyFont="1" applyBorder="1" applyAlignment="1">
      <alignment horizontal="left" wrapText="1"/>
    </xf>
    <xf numFmtId="0" fontId="19" fillId="0" borderId="3" xfId="0" applyFont="1" applyBorder="1" applyAlignment="1">
      <alignment horizontal="left" wrapText="1"/>
    </xf>
    <xf numFmtId="0" fontId="20" fillId="0" borderId="3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12" borderId="1" xfId="0" applyFont="1" applyFill="1" applyBorder="1" applyAlignment="1">
      <alignment horizontal="center" wrapText="1"/>
    </xf>
    <xf numFmtId="0" fontId="6" fillId="12" borderId="2" xfId="0" applyFont="1" applyFill="1" applyBorder="1" applyAlignment="1">
      <alignment horizontal="center" wrapText="1"/>
    </xf>
    <xf numFmtId="0" fontId="6" fillId="1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left" wrapText="1"/>
    </xf>
    <xf numFmtId="0" fontId="24" fillId="2" borderId="1" xfId="0" applyFont="1" applyFill="1" applyBorder="1" applyAlignment="1">
      <alignment horizontal="left" wrapText="1"/>
    </xf>
    <xf numFmtId="0" fontId="24" fillId="2" borderId="2" xfId="0" applyFont="1" applyFill="1" applyBorder="1" applyAlignment="1">
      <alignment horizontal="left" wrapText="1"/>
    </xf>
    <xf numFmtId="0" fontId="24" fillId="2" borderId="4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1" fillId="7" borderId="1" xfId="0" applyFont="1" applyFill="1" applyBorder="1" applyAlignment="1">
      <alignment horizontal="center" wrapText="1"/>
    </xf>
    <xf numFmtId="0" fontId="11" fillId="7" borderId="2" xfId="0" applyFont="1" applyFill="1" applyBorder="1" applyAlignment="1">
      <alignment horizontal="center" wrapText="1"/>
    </xf>
    <xf numFmtId="0" fontId="11" fillId="7" borderId="4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49" fillId="0" borderId="1" xfId="0" applyFont="1" applyBorder="1" applyAlignment="1">
      <alignment horizontal="center"/>
    </xf>
    <xf numFmtId="0" fontId="49" fillId="0" borderId="2" xfId="0" applyFont="1" applyBorder="1" applyAlignment="1">
      <alignment horizontal="center"/>
    </xf>
    <xf numFmtId="0" fontId="49" fillId="0" borderId="4" xfId="0" applyFont="1" applyBorder="1" applyAlignment="1">
      <alignment horizontal="center"/>
    </xf>
    <xf numFmtId="0" fontId="1" fillId="0" borderId="32" xfId="0" applyFont="1" applyBorder="1" applyAlignment="1">
      <alignment horizontal="left"/>
    </xf>
    <xf numFmtId="0" fontId="11" fillId="10" borderId="1" xfId="0" applyFont="1" applyFill="1" applyBorder="1" applyAlignment="1">
      <alignment horizontal="center" wrapText="1"/>
    </xf>
    <xf numFmtId="0" fontId="11" fillId="10" borderId="2" xfId="0" applyFont="1" applyFill="1" applyBorder="1" applyAlignment="1">
      <alignment horizontal="center" wrapText="1"/>
    </xf>
    <xf numFmtId="0" fontId="11" fillId="10" borderId="4" xfId="0" applyFont="1" applyFill="1" applyBorder="1" applyAlignment="1">
      <alignment horizontal="center" wrapText="1"/>
    </xf>
    <xf numFmtId="0" fontId="6" fillId="4" borderId="2" xfId="0" applyNumberFormat="1" applyFont="1" applyFill="1" applyBorder="1" applyAlignment="1" applyProtection="1">
      <alignment horizontal="center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19" fillId="15" borderId="1" xfId="0" applyFont="1" applyFill="1" applyBorder="1" applyAlignment="1">
      <alignment horizontal="center" wrapText="1"/>
    </xf>
    <xf numFmtId="0" fontId="19" fillId="15" borderId="2" xfId="0" applyFont="1" applyFill="1" applyBorder="1" applyAlignment="1">
      <alignment horizontal="center" wrapText="1"/>
    </xf>
    <xf numFmtId="0" fontId="19" fillId="15" borderId="4" xfId="0" applyFont="1" applyFill="1" applyBorder="1" applyAlignment="1">
      <alignment horizontal="center" wrapText="1"/>
    </xf>
    <xf numFmtId="0" fontId="11" fillId="9" borderId="1" xfId="0" applyFont="1" applyFill="1" applyBorder="1" applyAlignment="1">
      <alignment horizontal="center" wrapText="1"/>
    </xf>
    <xf numFmtId="0" fontId="11" fillId="9" borderId="2" xfId="0" applyFont="1" applyFill="1" applyBorder="1" applyAlignment="1">
      <alignment horizontal="center" wrapText="1"/>
    </xf>
    <xf numFmtId="0" fontId="11" fillId="9" borderId="4" xfId="0" applyFont="1" applyFill="1" applyBorder="1" applyAlignment="1">
      <alignment horizontal="center" wrapText="1"/>
    </xf>
    <xf numFmtId="0" fontId="6" fillId="23" borderId="3" xfId="0" applyFont="1" applyFill="1" applyBorder="1" applyAlignment="1">
      <alignment horizontal="left" wrapText="1"/>
    </xf>
    <xf numFmtId="0" fontId="24" fillId="0" borderId="3" xfId="0" applyFont="1" applyBorder="1" applyAlignment="1">
      <alignment horizontal="left" wrapText="1"/>
    </xf>
    <xf numFmtId="0" fontId="6" fillId="23" borderId="1" xfId="0" applyFont="1" applyFill="1" applyBorder="1" applyAlignment="1">
      <alignment horizontal="left" wrapText="1"/>
    </xf>
    <xf numFmtId="0" fontId="6" fillId="23" borderId="2" xfId="0" applyFont="1" applyFill="1" applyBorder="1" applyAlignment="1">
      <alignment horizontal="left" wrapText="1"/>
    </xf>
    <xf numFmtId="0" fontId="6" fillId="23" borderId="4" xfId="0" applyFont="1" applyFill="1" applyBorder="1" applyAlignment="1">
      <alignment horizontal="left" wrapText="1"/>
    </xf>
    <xf numFmtId="0" fontId="11" fillId="8" borderId="1" xfId="0" applyFont="1" applyFill="1" applyBorder="1" applyAlignment="1">
      <alignment horizontal="center"/>
    </xf>
    <xf numFmtId="0" fontId="11" fillId="8" borderId="2" xfId="0" applyFont="1" applyFill="1" applyBorder="1" applyAlignment="1">
      <alignment horizontal="center"/>
    </xf>
    <xf numFmtId="0" fontId="11" fillId="8" borderId="4" xfId="0" applyFont="1" applyFill="1" applyBorder="1" applyAlignment="1">
      <alignment horizontal="center"/>
    </xf>
    <xf numFmtId="0" fontId="24" fillId="0" borderId="1" xfId="0" applyFont="1" applyBorder="1" applyAlignment="1">
      <alignment horizontal="left"/>
    </xf>
    <xf numFmtId="0" fontId="24" fillId="0" borderId="2" xfId="0" applyFont="1" applyBorder="1" applyAlignment="1">
      <alignment horizontal="left"/>
    </xf>
    <xf numFmtId="0" fontId="24" fillId="0" borderId="4" xfId="0" applyFont="1" applyBorder="1" applyAlignment="1">
      <alignment horizontal="left"/>
    </xf>
    <xf numFmtId="0" fontId="6" fillId="2" borderId="1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11" fillId="5" borderId="1" xfId="0" applyFont="1" applyFill="1" applyBorder="1" applyAlignment="1">
      <alignment horizontal="center" wrapText="1"/>
    </xf>
    <xf numFmtId="0" fontId="11" fillId="5" borderId="2" xfId="0" applyFont="1" applyFill="1" applyBorder="1" applyAlignment="1">
      <alignment horizontal="center" wrapText="1"/>
    </xf>
    <xf numFmtId="0" fontId="11" fillId="5" borderId="4" xfId="0" applyFont="1" applyFill="1" applyBorder="1" applyAlignment="1">
      <alignment horizontal="center" wrapText="1"/>
    </xf>
    <xf numFmtId="0" fontId="3" fillId="12" borderId="1" xfId="0" applyFont="1" applyFill="1" applyBorder="1" applyAlignment="1">
      <alignment horizontal="center" wrapText="1"/>
    </xf>
    <xf numFmtId="0" fontId="3" fillId="12" borderId="2" xfId="0" applyFont="1" applyFill="1" applyBorder="1" applyAlignment="1">
      <alignment horizontal="center" wrapText="1"/>
    </xf>
    <xf numFmtId="0" fontId="3" fillId="12" borderId="4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left" wrapText="1"/>
    </xf>
    <xf numFmtId="0" fontId="6" fillId="6" borderId="2" xfId="0" applyFont="1" applyFill="1" applyBorder="1" applyAlignment="1">
      <alignment horizontal="left" wrapText="1"/>
    </xf>
    <xf numFmtId="0" fontId="6" fillId="6" borderId="4" xfId="0" applyFont="1" applyFill="1" applyBorder="1" applyAlignment="1">
      <alignment horizontal="left" wrapText="1"/>
    </xf>
    <xf numFmtId="0" fontId="11" fillId="12" borderId="1" xfId="0" applyFont="1" applyFill="1" applyBorder="1" applyAlignment="1">
      <alignment horizontal="center" wrapText="1"/>
    </xf>
    <xf numFmtId="0" fontId="11" fillId="12" borderId="2" xfId="0" applyFont="1" applyFill="1" applyBorder="1" applyAlignment="1">
      <alignment horizontal="center" wrapText="1"/>
    </xf>
    <xf numFmtId="0" fontId="11" fillId="12" borderId="4" xfId="0" applyFont="1" applyFill="1" applyBorder="1" applyAlignment="1">
      <alignment horizontal="center" wrapText="1"/>
    </xf>
    <xf numFmtId="0" fontId="18" fillId="15" borderId="1" xfId="0" applyFont="1" applyFill="1" applyBorder="1" applyAlignment="1">
      <alignment horizontal="center" wrapText="1"/>
    </xf>
    <xf numFmtId="0" fontId="18" fillId="15" borderId="2" xfId="0" applyFont="1" applyFill="1" applyBorder="1" applyAlignment="1">
      <alignment horizontal="center" wrapText="1"/>
    </xf>
    <xf numFmtId="0" fontId="18" fillId="15" borderId="4" xfId="0" applyFont="1" applyFill="1" applyBorder="1" applyAlignment="1">
      <alignment horizontal="center" wrapText="1"/>
    </xf>
    <xf numFmtId="0" fontId="6" fillId="22" borderId="1" xfId="0" applyFont="1" applyFill="1" applyBorder="1" applyAlignment="1">
      <alignment horizontal="center"/>
    </xf>
    <xf numFmtId="0" fontId="6" fillId="22" borderId="2" xfId="0" applyFont="1" applyFill="1" applyBorder="1" applyAlignment="1">
      <alignment horizontal="center"/>
    </xf>
    <xf numFmtId="0" fontId="6" fillId="22" borderId="4" xfId="0" applyFont="1" applyFill="1" applyBorder="1" applyAlignment="1">
      <alignment horizontal="center"/>
    </xf>
    <xf numFmtId="0" fontId="18" fillId="0" borderId="1" xfId="0" applyFont="1" applyBorder="1" applyAlignment="1">
      <alignment horizontal="left" wrapText="1"/>
    </xf>
    <xf numFmtId="0" fontId="18" fillId="0" borderId="2" xfId="0" applyFont="1" applyBorder="1" applyAlignment="1">
      <alignment horizontal="left" wrapText="1"/>
    </xf>
    <xf numFmtId="0" fontId="18" fillId="0" borderId="4" xfId="0" applyFont="1" applyBorder="1" applyAlignment="1">
      <alignment horizontal="left" wrapText="1"/>
    </xf>
    <xf numFmtId="0" fontId="22" fillId="0" borderId="1" xfId="0" applyFont="1" applyBorder="1" applyAlignment="1">
      <alignment horizontal="left" wrapText="1"/>
    </xf>
    <xf numFmtId="0" fontId="22" fillId="0" borderId="2" xfId="0" applyFont="1" applyBorder="1" applyAlignment="1">
      <alignment horizontal="left" wrapText="1"/>
    </xf>
    <xf numFmtId="0" fontId="22" fillId="0" borderId="4" xfId="0" applyFont="1" applyBorder="1" applyAlignment="1">
      <alignment horizontal="left" wrapText="1"/>
    </xf>
    <xf numFmtId="0" fontId="1" fillId="10" borderId="1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</cellXfs>
  <cellStyles count="17">
    <cellStyle name="Bad 1" xfId="10" xr:uid="{00000000-0005-0000-0000-00002F000000}"/>
    <cellStyle name="Good 1" xfId="11" xr:uid="{00000000-0005-0000-0000-000030000000}"/>
    <cellStyle name="Heading 1 1" xfId="12" xr:uid="{00000000-0005-0000-0000-000031000000}"/>
    <cellStyle name="Heading 2 1" xfId="13" xr:uid="{00000000-0005-0000-0000-000032000000}"/>
    <cellStyle name="Neutral 1" xfId="14" xr:uid="{00000000-0005-0000-0000-000033000000}"/>
    <cellStyle name="Normal_Podaci" xfId="6" xr:uid="{0F28D05F-F6A9-487C-B472-470B65CE20B3}"/>
    <cellStyle name="Normalno" xfId="0" builtinId="0"/>
    <cellStyle name="Normalno 2" xfId="4" xr:uid="{00000000-0005-0000-0000-000030000000}"/>
    <cellStyle name="Normalno 2 2" xfId="15" xr:uid="{00000000-0005-0000-0000-000035000000}"/>
    <cellStyle name="Normalno 3" xfId="3" xr:uid="{00000000-0005-0000-0000-00002F000000}"/>
    <cellStyle name="Normalno 3 2" xfId="9" xr:uid="{00000000-0005-0000-0000-000034000000}"/>
    <cellStyle name="Normalno 4" xfId="7" xr:uid="{00000000-0005-0000-0000-000038000000}"/>
    <cellStyle name="Note 1" xfId="16" xr:uid="{00000000-0005-0000-0000-000036000000}"/>
    <cellStyle name="Obično_List1" xfId="5" xr:uid="{00000000-0005-0000-0000-000031000000}"/>
    <cellStyle name="Postotak" xfId="2" builtinId="5"/>
    <cellStyle name="Valuta" xfId="1" builtinId="4"/>
    <cellStyle name="Valuta 2" xfId="8" xr:uid="{00000000-0005-0000-0000-00003C000000}"/>
  </cellStyles>
  <dxfs count="0"/>
  <tableStyles count="0" defaultTableStyle="TableStyleMedium2" defaultPivotStyle="PivotStyleLight16"/>
  <colors>
    <mruColors>
      <color rgb="FF33CCCC"/>
      <color rgb="FFE5B3D8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6"/>
  <sheetViews>
    <sheetView topLeftCell="A4" workbookViewId="0">
      <selection activeCell="A7" sqref="A7:L14"/>
    </sheetView>
  </sheetViews>
  <sheetFormatPr defaultRowHeight="14.4" x14ac:dyDescent="0.3"/>
  <cols>
    <col min="1" max="1" width="9.109375" bestFit="1" customWidth="1"/>
    <col min="5" max="5" width="8.5546875" customWidth="1"/>
    <col min="6" max="15" width="25.33203125" customWidth="1"/>
  </cols>
  <sheetData>
    <row r="1" spans="1:15" ht="42" customHeight="1" x14ac:dyDescent="0.3">
      <c r="A1" s="317" t="s">
        <v>186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</row>
    <row r="2" spans="1:15" ht="18" customHeight="1" x14ac:dyDescent="0.3">
      <c r="A2" s="4"/>
      <c r="B2" s="4"/>
      <c r="C2" s="4"/>
      <c r="D2" s="4"/>
      <c r="E2" s="4"/>
      <c r="F2" s="4"/>
      <c r="G2" s="27"/>
      <c r="H2" s="4"/>
      <c r="I2" s="27"/>
      <c r="J2" s="4"/>
      <c r="K2" s="27"/>
      <c r="L2" s="4"/>
      <c r="M2" s="27"/>
      <c r="N2" s="27"/>
      <c r="O2" s="4"/>
    </row>
    <row r="3" spans="1:15" ht="15.6" x14ac:dyDescent="0.3">
      <c r="A3" s="300" t="s">
        <v>32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18"/>
      <c r="M3" s="318"/>
      <c r="N3" s="318"/>
      <c r="O3" s="318"/>
    </row>
    <row r="4" spans="1:15" ht="17.399999999999999" x14ac:dyDescent="0.3">
      <c r="A4" s="4"/>
      <c r="B4" s="4"/>
      <c r="C4" s="4"/>
      <c r="D4" s="4"/>
      <c r="E4" s="4"/>
      <c r="F4" s="4"/>
      <c r="G4" s="27"/>
      <c r="H4" s="4"/>
      <c r="I4" s="27"/>
      <c r="J4" s="4"/>
      <c r="K4" s="27"/>
      <c r="L4" s="5"/>
      <c r="M4" s="5"/>
      <c r="N4" s="5"/>
      <c r="O4" s="5"/>
    </row>
    <row r="5" spans="1:15" ht="18" customHeight="1" x14ac:dyDescent="0.3">
      <c r="A5" s="300" t="s">
        <v>36</v>
      </c>
      <c r="B5" s="301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</row>
    <row r="6" spans="1:15" ht="17.399999999999999" x14ac:dyDescent="0.3">
      <c r="A6" s="264">
        <v>7.5345000000000004</v>
      </c>
      <c r="B6" s="1"/>
      <c r="C6" s="1"/>
      <c r="D6" s="1"/>
      <c r="E6" s="6"/>
      <c r="F6" s="7" t="s">
        <v>53</v>
      </c>
      <c r="G6" s="7" t="s">
        <v>52</v>
      </c>
      <c r="H6" s="7" t="s">
        <v>53</v>
      </c>
      <c r="I6" s="7" t="s">
        <v>52</v>
      </c>
      <c r="J6" s="7" t="s">
        <v>52</v>
      </c>
      <c r="K6" s="7" t="s">
        <v>52</v>
      </c>
      <c r="L6" s="7" t="s">
        <v>52</v>
      </c>
      <c r="M6" s="7" t="s">
        <v>53</v>
      </c>
      <c r="N6" s="7" t="s">
        <v>52</v>
      </c>
    </row>
    <row r="7" spans="1:15" ht="26.4" x14ac:dyDescent="0.3">
      <c r="A7" s="31"/>
      <c r="B7" s="32"/>
      <c r="C7" s="32"/>
      <c r="D7" s="33"/>
      <c r="E7" s="34"/>
      <c r="F7" s="3" t="s">
        <v>38</v>
      </c>
      <c r="G7" s="3" t="s">
        <v>38</v>
      </c>
      <c r="H7" s="3" t="s">
        <v>39</v>
      </c>
      <c r="I7" s="3" t="s">
        <v>39</v>
      </c>
      <c r="J7" s="3" t="s">
        <v>43</v>
      </c>
      <c r="K7" s="3" t="s">
        <v>44</v>
      </c>
      <c r="L7" s="3" t="s">
        <v>45</v>
      </c>
    </row>
    <row r="8" spans="1:15" x14ac:dyDescent="0.3">
      <c r="A8" s="319" t="s">
        <v>0</v>
      </c>
      <c r="B8" s="314"/>
      <c r="C8" s="314"/>
      <c r="D8" s="314"/>
      <c r="E8" s="320"/>
      <c r="F8" s="35">
        <f>+F9+F10</f>
        <v>7427763</v>
      </c>
      <c r="G8" s="35">
        <f>+G9+G10</f>
        <v>985833.56559824792</v>
      </c>
      <c r="H8" s="35">
        <f>+H9+H10</f>
        <v>7918500</v>
      </c>
      <c r="I8" s="35">
        <f>+H8/$A$6</f>
        <v>1050965.5584312163</v>
      </c>
      <c r="J8" s="35">
        <v>987816.00172539649</v>
      </c>
      <c r="K8" s="35">
        <v>987816.00172539649</v>
      </c>
      <c r="L8" s="35">
        <v>987816.00172539649</v>
      </c>
    </row>
    <row r="9" spans="1:15" x14ac:dyDescent="0.3">
      <c r="A9" s="310" t="s">
        <v>1</v>
      </c>
      <c r="B9" s="303"/>
      <c r="C9" s="303"/>
      <c r="D9" s="303"/>
      <c r="E9" s="316"/>
      <c r="F9" s="36">
        <f>+' Račun prihoda i rashoda'!E10</f>
        <v>7427363</v>
      </c>
      <c r="G9" s="36">
        <f>+F9/$A$6</f>
        <v>985780.4764748821</v>
      </c>
      <c r="H9" s="36">
        <f>+' Račun prihoda i rashoda'!G10</f>
        <v>7918100</v>
      </c>
      <c r="I9" s="36">
        <f t="shared" ref="I9:I14" si="0">+H9/$A$6</f>
        <v>1050912.4693078506</v>
      </c>
      <c r="J9" s="36">
        <v>987766.00106178247</v>
      </c>
      <c r="K9" s="36">
        <v>987766.00106178247</v>
      </c>
      <c r="L9" s="36">
        <v>987766.00106178247</v>
      </c>
    </row>
    <row r="10" spans="1:15" x14ac:dyDescent="0.3">
      <c r="A10" s="321" t="s">
        <v>2</v>
      </c>
      <c r="B10" s="316"/>
      <c r="C10" s="316"/>
      <c r="D10" s="316"/>
      <c r="E10" s="316"/>
      <c r="F10" s="36">
        <v>400</v>
      </c>
      <c r="G10" s="36">
        <f>+F10/$A$6</f>
        <v>53.089123365850419</v>
      </c>
      <c r="H10" s="36">
        <f>+' Račun prihoda i rashoda'!G31</f>
        <v>400</v>
      </c>
      <c r="I10" s="36">
        <f t="shared" si="0"/>
        <v>53.089123365850419</v>
      </c>
      <c r="J10" s="36">
        <v>50.000663614042075</v>
      </c>
      <c r="K10" s="36">
        <v>50.000663614042075</v>
      </c>
      <c r="L10" s="36">
        <v>50.000663614042075</v>
      </c>
    </row>
    <row r="11" spans="1:15" x14ac:dyDescent="0.3">
      <c r="A11" s="43" t="s">
        <v>3</v>
      </c>
      <c r="B11" s="44"/>
      <c r="C11" s="44"/>
      <c r="D11" s="44"/>
      <c r="E11" s="44"/>
      <c r="F11" s="35">
        <f>+F12+F13</f>
        <v>7429449.9399999995</v>
      </c>
      <c r="G11" s="35">
        <f>+G12+G13</f>
        <v>986057.46101267484</v>
      </c>
      <c r="H11" s="35">
        <f>+H12+H13</f>
        <v>7918170</v>
      </c>
      <c r="I11" s="35">
        <f t="shared" si="0"/>
        <v>1050921.7599044396</v>
      </c>
      <c r="J11" s="35">
        <v>987816.00119450525</v>
      </c>
      <c r="K11" s="35">
        <v>987816.00119450525</v>
      </c>
      <c r="L11" s="35">
        <v>987816.00119450525</v>
      </c>
    </row>
    <row r="12" spans="1:15" x14ac:dyDescent="0.3">
      <c r="A12" s="302" t="s">
        <v>4</v>
      </c>
      <c r="B12" s="303"/>
      <c r="C12" s="303"/>
      <c r="D12" s="303"/>
      <c r="E12" s="303"/>
      <c r="F12" s="36">
        <f>+' Račun prihoda i rashoda'!E40</f>
        <v>7242901.9499999993</v>
      </c>
      <c r="G12" s="36">
        <f>+F12/A6</f>
        <v>961298.28787577129</v>
      </c>
      <c r="H12" s="36">
        <f>+' Račun prihoda i rashoda'!G40</f>
        <v>7257670</v>
      </c>
      <c r="I12" s="36">
        <f t="shared" si="0"/>
        <v>963258.34494657896</v>
      </c>
      <c r="J12" s="36">
        <v>962846.00119450525</v>
      </c>
      <c r="K12" s="36">
        <v>962846.00119450525</v>
      </c>
      <c r="L12" s="37">
        <v>962846.00119450525</v>
      </c>
    </row>
    <row r="13" spans="1:15" x14ac:dyDescent="0.3">
      <c r="A13" s="315" t="s">
        <v>5</v>
      </c>
      <c r="B13" s="316"/>
      <c r="C13" s="316"/>
      <c r="D13" s="316"/>
      <c r="E13" s="316"/>
      <c r="F13" s="38">
        <f>+' Račun prihoda i rashoda'!E73</f>
        <v>186547.99</v>
      </c>
      <c r="G13" s="36">
        <f>+F13/A6</f>
        <v>24759.173136903573</v>
      </c>
      <c r="H13" s="36">
        <f>+' Račun prihoda i rashoda'!G73</f>
        <v>660500</v>
      </c>
      <c r="I13" s="36">
        <f t="shared" si="0"/>
        <v>87663.414957860499</v>
      </c>
      <c r="J13" s="38">
        <v>24970</v>
      </c>
      <c r="K13" s="38">
        <v>24970</v>
      </c>
      <c r="L13" s="37">
        <v>24970</v>
      </c>
    </row>
    <row r="14" spans="1:15" x14ac:dyDescent="0.3">
      <c r="A14" s="313" t="s">
        <v>6</v>
      </c>
      <c r="B14" s="314"/>
      <c r="C14" s="314"/>
      <c r="D14" s="314"/>
      <c r="E14" s="314"/>
      <c r="F14" s="35">
        <f>+F8-F11</f>
        <v>-1686.9399999994785</v>
      </c>
      <c r="G14" s="35">
        <f>+F14/A6</f>
        <v>-223.89541442690003</v>
      </c>
      <c r="H14" s="35">
        <f>+H8-H11</f>
        <v>330</v>
      </c>
      <c r="I14" s="35">
        <f t="shared" si="0"/>
        <v>43.798526776826598</v>
      </c>
      <c r="J14" s="39"/>
      <c r="K14" s="39"/>
      <c r="L14" s="39">
        <v>0</v>
      </c>
    </row>
    <row r="15" spans="1:15" ht="17.399999999999999" x14ac:dyDescent="0.3">
      <c r="A15" s="4"/>
      <c r="B15" s="8"/>
      <c r="C15" s="8"/>
      <c r="D15" s="8"/>
      <c r="E15" s="8"/>
      <c r="F15" s="8"/>
      <c r="G15" s="25"/>
      <c r="H15" s="8"/>
      <c r="I15" s="25"/>
      <c r="J15" s="2"/>
      <c r="K15" s="26"/>
      <c r="L15" s="2"/>
      <c r="M15" s="26"/>
      <c r="N15" s="26"/>
      <c r="O15" s="2"/>
    </row>
    <row r="16" spans="1:15" ht="18" customHeight="1" x14ac:dyDescent="0.3">
      <c r="A16" s="300" t="s">
        <v>37</v>
      </c>
      <c r="B16" s="301"/>
      <c r="C16" s="301"/>
      <c r="D16" s="301"/>
      <c r="E16" s="301"/>
      <c r="F16" s="301"/>
      <c r="G16" s="301"/>
      <c r="H16" s="301"/>
      <c r="I16" s="301"/>
      <c r="J16" s="301"/>
      <c r="K16" s="301"/>
      <c r="L16" s="301"/>
      <c r="M16" s="301"/>
      <c r="N16" s="301"/>
      <c r="O16" s="301"/>
    </row>
    <row r="17" spans="1:15" ht="17.399999999999999" x14ac:dyDescent="0.3">
      <c r="A17" s="27"/>
      <c r="B17" s="25"/>
      <c r="C17" s="25"/>
      <c r="D17" s="25"/>
      <c r="E17" s="25"/>
      <c r="F17" s="25"/>
      <c r="G17" s="25"/>
      <c r="H17" s="25"/>
      <c r="I17" s="25"/>
      <c r="J17" s="26"/>
      <c r="K17" s="26"/>
      <c r="L17" s="26"/>
      <c r="M17" s="26"/>
      <c r="N17" s="26"/>
      <c r="O17" s="26"/>
    </row>
    <row r="18" spans="1:15" ht="26.4" x14ac:dyDescent="0.3">
      <c r="A18" s="31"/>
      <c r="B18" s="32"/>
      <c r="C18" s="32"/>
      <c r="D18" s="33"/>
      <c r="E18" s="34"/>
      <c r="F18" s="3" t="s">
        <v>12</v>
      </c>
      <c r="G18" s="3" t="s">
        <v>12</v>
      </c>
      <c r="H18" s="3" t="s">
        <v>13</v>
      </c>
      <c r="I18" s="3" t="s">
        <v>13</v>
      </c>
      <c r="J18" s="3" t="s">
        <v>43</v>
      </c>
      <c r="K18" s="3" t="s">
        <v>43</v>
      </c>
      <c r="L18" s="3" t="s">
        <v>44</v>
      </c>
      <c r="M18" s="3" t="s">
        <v>44</v>
      </c>
      <c r="N18" s="3" t="s">
        <v>44</v>
      </c>
      <c r="O18" s="3" t="s">
        <v>45</v>
      </c>
    </row>
    <row r="19" spans="1:15" ht="15.75" customHeight="1" x14ac:dyDescent="0.3">
      <c r="A19" s="310" t="s">
        <v>8</v>
      </c>
      <c r="B19" s="311"/>
      <c r="C19" s="311"/>
      <c r="D19" s="311"/>
      <c r="E19" s="312"/>
      <c r="F19" s="38"/>
      <c r="G19" s="38"/>
      <c r="H19" s="38"/>
      <c r="I19" s="38"/>
      <c r="J19" s="38"/>
      <c r="K19" s="38"/>
      <c r="L19" s="38"/>
      <c r="M19" s="38"/>
      <c r="N19" s="38"/>
      <c r="O19" s="38"/>
    </row>
    <row r="20" spans="1:15" x14ac:dyDescent="0.3">
      <c r="A20" s="310" t="s">
        <v>9</v>
      </c>
      <c r="B20" s="303"/>
      <c r="C20" s="303"/>
      <c r="D20" s="303"/>
      <c r="E20" s="303"/>
      <c r="F20" s="38"/>
      <c r="G20" s="38"/>
      <c r="H20" s="38"/>
      <c r="I20" s="38"/>
      <c r="J20" s="38"/>
      <c r="K20" s="38"/>
      <c r="L20" s="38"/>
      <c r="M20" s="38"/>
      <c r="N20" s="38"/>
      <c r="O20" s="38"/>
    </row>
    <row r="21" spans="1:15" x14ac:dyDescent="0.3">
      <c r="A21" s="313" t="s">
        <v>10</v>
      </c>
      <c r="B21" s="314"/>
      <c r="C21" s="314"/>
      <c r="D21" s="314"/>
      <c r="E21" s="314"/>
      <c r="F21" s="35">
        <v>0</v>
      </c>
      <c r="G21" s="35"/>
      <c r="H21" s="35">
        <v>0</v>
      </c>
      <c r="I21" s="35"/>
      <c r="J21" s="35">
        <v>0</v>
      </c>
      <c r="K21" s="35"/>
      <c r="L21" s="35">
        <v>0</v>
      </c>
      <c r="M21" s="35"/>
      <c r="N21" s="35"/>
      <c r="O21" s="35">
        <v>0</v>
      </c>
    </row>
    <row r="22" spans="1:15" ht="17.399999999999999" x14ac:dyDescent="0.3">
      <c r="A22" s="24"/>
      <c r="B22" s="25"/>
      <c r="C22" s="25"/>
      <c r="D22" s="25"/>
      <c r="E22" s="25"/>
      <c r="F22" s="25"/>
      <c r="G22" s="25"/>
      <c r="H22" s="25"/>
      <c r="I22" s="25"/>
      <c r="J22" s="26"/>
      <c r="K22" s="26"/>
      <c r="L22" s="26"/>
      <c r="M22" s="26"/>
      <c r="N22" s="26"/>
      <c r="O22" s="26"/>
    </row>
    <row r="23" spans="1:15" ht="18" customHeight="1" x14ac:dyDescent="0.3">
      <c r="A23" s="300" t="s">
        <v>49</v>
      </c>
      <c r="B23" s="301"/>
      <c r="C23" s="301"/>
      <c r="D23" s="301"/>
      <c r="E23" s="301"/>
      <c r="F23" s="301"/>
      <c r="G23" s="301"/>
      <c r="H23" s="301"/>
      <c r="I23" s="301"/>
      <c r="J23" s="301"/>
      <c r="K23" s="301"/>
      <c r="L23" s="301"/>
      <c r="M23" s="301"/>
      <c r="N23" s="301"/>
      <c r="O23" s="301"/>
    </row>
    <row r="24" spans="1:15" ht="17.399999999999999" x14ac:dyDescent="0.3">
      <c r="A24" s="24"/>
      <c r="B24" s="25"/>
      <c r="C24" s="25"/>
      <c r="D24" s="25"/>
      <c r="E24" s="25"/>
      <c r="F24" s="25"/>
      <c r="G24" s="25"/>
      <c r="H24" s="25"/>
      <c r="I24" s="25"/>
      <c r="J24" s="26"/>
      <c r="K24" s="26"/>
      <c r="L24" s="26"/>
      <c r="M24" s="26"/>
      <c r="N24" s="26"/>
      <c r="O24" s="26"/>
    </row>
    <row r="25" spans="1:15" ht="26.4" x14ac:dyDescent="0.3">
      <c r="A25" s="31"/>
      <c r="B25" s="32"/>
      <c r="C25" s="32"/>
      <c r="D25" s="33"/>
      <c r="E25" s="34"/>
      <c r="F25" s="3" t="s">
        <v>12</v>
      </c>
      <c r="G25" s="3" t="s">
        <v>12</v>
      </c>
      <c r="H25" s="3" t="s">
        <v>13</v>
      </c>
      <c r="I25" s="3" t="s">
        <v>13</v>
      </c>
      <c r="J25" s="3" t="s">
        <v>43</v>
      </c>
      <c r="K25" s="3" t="s">
        <v>43</v>
      </c>
      <c r="L25" s="3" t="s">
        <v>44</v>
      </c>
      <c r="M25" s="3" t="s">
        <v>44</v>
      </c>
      <c r="N25" s="3" t="s">
        <v>45</v>
      </c>
      <c r="O25" s="3" t="s">
        <v>45</v>
      </c>
    </row>
    <row r="26" spans="1:15" x14ac:dyDescent="0.3">
      <c r="A26" s="304" t="s">
        <v>40</v>
      </c>
      <c r="B26" s="305"/>
      <c r="C26" s="305"/>
      <c r="D26" s="305"/>
      <c r="E26" s="306"/>
      <c r="F26" s="40"/>
      <c r="G26" s="40"/>
      <c r="H26" s="40">
        <v>-330</v>
      </c>
      <c r="I26" s="40"/>
      <c r="J26" s="40"/>
      <c r="K26" s="40"/>
      <c r="L26" s="40"/>
      <c r="M26" s="40"/>
      <c r="N26" s="40"/>
      <c r="O26" s="41"/>
    </row>
    <row r="27" spans="1:15" ht="30" customHeight="1" x14ac:dyDescent="0.3">
      <c r="A27" s="307" t="s">
        <v>7</v>
      </c>
      <c r="B27" s="308"/>
      <c r="C27" s="308"/>
      <c r="D27" s="308"/>
      <c r="E27" s="309"/>
      <c r="F27" s="42"/>
      <c r="G27" s="42"/>
      <c r="H27" s="42"/>
      <c r="I27" s="42"/>
      <c r="J27" s="42"/>
      <c r="K27" s="42"/>
      <c r="L27" s="42"/>
      <c r="M27" s="42"/>
      <c r="N27" s="42"/>
      <c r="O27" s="39"/>
    </row>
    <row r="30" spans="1:15" x14ac:dyDescent="0.3">
      <c r="A30" s="302" t="s">
        <v>11</v>
      </c>
      <c r="B30" s="303"/>
      <c r="C30" s="303"/>
      <c r="D30" s="303"/>
      <c r="E30" s="303"/>
      <c r="F30" s="38">
        <v>0</v>
      </c>
      <c r="G30" s="38"/>
      <c r="H30" s="38">
        <v>0</v>
      </c>
      <c r="I30" s="38"/>
      <c r="J30" s="38">
        <v>0</v>
      </c>
      <c r="K30" s="38"/>
      <c r="L30" s="38">
        <v>0</v>
      </c>
      <c r="M30" s="38"/>
      <c r="N30" s="38"/>
      <c r="O30" s="38">
        <v>0</v>
      </c>
    </row>
    <row r="31" spans="1:15" ht="11.25" customHeight="1" x14ac:dyDescent="0.3">
      <c r="A31" s="19"/>
      <c r="B31" s="20"/>
      <c r="C31" s="20"/>
      <c r="D31" s="20"/>
      <c r="E31" s="20"/>
      <c r="F31" s="21"/>
      <c r="G31" s="21"/>
      <c r="H31" s="21"/>
      <c r="I31" s="21"/>
      <c r="J31" s="21"/>
      <c r="K31" s="21"/>
      <c r="L31" s="21"/>
      <c r="M31" s="21"/>
      <c r="N31" s="21"/>
      <c r="O31" s="21"/>
    </row>
    <row r="32" spans="1:15" ht="29.25" customHeight="1" x14ac:dyDescent="0.3">
      <c r="A32" s="298" t="s">
        <v>50</v>
      </c>
      <c r="B32" s="299"/>
      <c r="C32" s="299"/>
      <c r="D32" s="299"/>
      <c r="E32" s="299"/>
      <c r="F32" s="299"/>
      <c r="G32" s="299"/>
      <c r="H32" s="299"/>
      <c r="I32" s="299"/>
      <c r="J32" s="299"/>
      <c r="K32" s="299"/>
      <c r="L32" s="299"/>
      <c r="M32" s="299"/>
      <c r="N32" s="299"/>
      <c r="O32" s="299"/>
    </row>
    <row r="33" spans="1:15" ht="8.25" customHeight="1" x14ac:dyDescent="0.3"/>
    <row r="34" spans="1:15" x14ac:dyDescent="0.3">
      <c r="A34" s="298" t="s">
        <v>41</v>
      </c>
      <c r="B34" s="299"/>
      <c r="C34" s="299"/>
      <c r="D34" s="299"/>
      <c r="E34" s="299"/>
      <c r="F34" s="299"/>
      <c r="G34" s="299"/>
      <c r="H34" s="299"/>
      <c r="I34" s="299"/>
      <c r="J34" s="299"/>
      <c r="K34" s="299"/>
      <c r="L34" s="299"/>
      <c r="M34" s="299"/>
      <c r="N34" s="299"/>
      <c r="O34" s="299"/>
    </row>
    <row r="35" spans="1:15" ht="8.25" customHeight="1" x14ac:dyDescent="0.3"/>
    <row r="36" spans="1:15" ht="29.25" customHeight="1" x14ac:dyDescent="0.3">
      <c r="A36" s="298" t="s">
        <v>42</v>
      </c>
      <c r="B36" s="299"/>
      <c r="C36" s="299"/>
      <c r="D36" s="299"/>
      <c r="E36" s="299"/>
      <c r="F36" s="299"/>
      <c r="G36" s="299"/>
      <c r="H36" s="299"/>
      <c r="I36" s="299"/>
      <c r="J36" s="299"/>
      <c r="K36" s="299"/>
      <c r="L36" s="299"/>
      <c r="M36" s="299"/>
      <c r="N36" s="299"/>
      <c r="O36" s="299"/>
    </row>
  </sheetData>
  <mergeCells count="20">
    <mergeCell ref="A12:E12"/>
    <mergeCell ref="A5:O5"/>
    <mergeCell ref="A16:O16"/>
    <mergeCell ref="A1:O1"/>
    <mergeCell ref="A3:O3"/>
    <mergeCell ref="A8:E8"/>
    <mergeCell ref="A9:E9"/>
    <mergeCell ref="A10:E10"/>
    <mergeCell ref="A19:E19"/>
    <mergeCell ref="A20:E20"/>
    <mergeCell ref="A21:E21"/>
    <mergeCell ref="A13:E13"/>
    <mergeCell ref="A14:E14"/>
    <mergeCell ref="A36:O36"/>
    <mergeCell ref="A23:O23"/>
    <mergeCell ref="A32:O32"/>
    <mergeCell ref="A30:E30"/>
    <mergeCell ref="A34:O34"/>
    <mergeCell ref="A26:E26"/>
    <mergeCell ref="A27:E27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82"/>
  <sheetViews>
    <sheetView tabSelected="1" topLeftCell="A13" workbookViewId="0">
      <selection activeCell="A3" sqref="A3:L3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5.44140625" bestFit="1" customWidth="1"/>
    <col min="4" max="4" width="25.33203125" customWidth="1"/>
    <col min="5" max="5" width="16.44140625" customWidth="1"/>
    <col min="6" max="6" width="19.5546875" customWidth="1"/>
    <col min="7" max="7" width="18.6640625" customWidth="1"/>
    <col min="8" max="8" width="19.109375" customWidth="1"/>
    <col min="9" max="9" width="15.88671875" style="124" customWidth="1"/>
    <col min="10" max="10" width="16" style="255" customWidth="1"/>
    <col min="11" max="11" width="15.77734375" style="124" customWidth="1"/>
    <col min="12" max="12" width="17.44140625" style="124" customWidth="1"/>
    <col min="13" max="14" width="9.109375" bestFit="1" customWidth="1"/>
  </cols>
  <sheetData>
    <row r="1" spans="1:13" ht="42" customHeight="1" x14ac:dyDescent="0.3">
      <c r="A1" s="300" t="s">
        <v>179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</row>
    <row r="2" spans="1:13" ht="18" customHeight="1" x14ac:dyDescent="0.3">
      <c r="A2" s="4"/>
      <c r="B2" s="4"/>
      <c r="C2" s="4"/>
      <c r="D2" s="4"/>
      <c r="E2" s="27"/>
      <c r="F2" s="4"/>
      <c r="G2" s="27"/>
      <c r="H2" s="4"/>
      <c r="I2" s="27"/>
      <c r="J2" s="251"/>
      <c r="K2" s="27"/>
      <c r="L2" s="27"/>
    </row>
    <row r="3" spans="1:13" ht="15.6" x14ac:dyDescent="0.3">
      <c r="A3" s="300" t="s">
        <v>32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18"/>
    </row>
    <row r="4" spans="1:13" ht="18" x14ac:dyDescent="0.3">
      <c r="A4" s="4"/>
      <c r="B4" s="4"/>
      <c r="C4" s="4"/>
      <c r="D4" s="234"/>
      <c r="E4" s="27"/>
      <c r="F4" s="4"/>
      <c r="G4" s="27"/>
      <c r="H4" s="4"/>
      <c r="I4" s="27"/>
      <c r="J4" s="251"/>
      <c r="K4" s="27"/>
      <c r="L4" s="284"/>
    </row>
    <row r="5" spans="1:13" ht="18" customHeight="1" x14ac:dyDescent="0.3">
      <c r="A5" s="300" t="s">
        <v>15</v>
      </c>
      <c r="B5" s="301"/>
      <c r="C5" s="301"/>
      <c r="D5" s="301"/>
      <c r="E5" s="301"/>
      <c r="F5" s="301"/>
      <c r="G5" s="301"/>
      <c r="H5" s="301"/>
      <c r="I5" s="301"/>
      <c r="J5" s="301"/>
      <c r="K5" s="301"/>
      <c r="L5" s="301"/>
    </row>
    <row r="6" spans="1:13" ht="18" x14ac:dyDescent="0.3">
      <c r="A6" s="4"/>
      <c r="B6" s="4"/>
      <c r="C6" s="4"/>
      <c r="D6" s="280"/>
      <c r="E6" s="195">
        <v>7.5345000000000004</v>
      </c>
      <c r="F6" s="4"/>
      <c r="G6" s="27"/>
      <c r="H6" s="4"/>
      <c r="I6" s="234"/>
      <c r="J6" s="282"/>
      <c r="K6" s="27"/>
      <c r="L6" s="286"/>
      <c r="M6" s="146"/>
    </row>
    <row r="7" spans="1:13" ht="15.6" x14ac:dyDescent="0.3">
      <c r="A7" s="300" t="s">
        <v>1</v>
      </c>
      <c r="B7" s="322"/>
      <c r="C7" s="322"/>
      <c r="D7" s="322"/>
      <c r="E7" s="322"/>
      <c r="F7" s="322"/>
      <c r="G7" s="322"/>
      <c r="H7" s="322"/>
      <c r="I7" s="322"/>
      <c r="J7" s="322"/>
      <c r="K7" s="322"/>
      <c r="L7" s="322"/>
    </row>
    <row r="8" spans="1:13" ht="17.399999999999999" x14ac:dyDescent="0.3">
      <c r="A8" s="4"/>
      <c r="B8" s="4"/>
      <c r="C8" s="4"/>
      <c r="D8" s="4"/>
      <c r="E8" s="257" t="s">
        <v>53</v>
      </c>
      <c r="F8" s="257" t="s">
        <v>52</v>
      </c>
      <c r="G8" s="257" t="s">
        <v>53</v>
      </c>
      <c r="H8" s="257" t="s">
        <v>52</v>
      </c>
      <c r="I8" s="257" t="s">
        <v>52</v>
      </c>
      <c r="J8" s="258" t="s">
        <v>53</v>
      </c>
      <c r="K8" s="257" t="s">
        <v>52</v>
      </c>
      <c r="L8" s="259" t="s">
        <v>52</v>
      </c>
    </row>
    <row r="9" spans="1:13" ht="26.4" x14ac:dyDescent="0.3">
      <c r="A9" s="23" t="s">
        <v>16</v>
      </c>
      <c r="B9" s="22" t="s">
        <v>17</v>
      </c>
      <c r="C9" s="22" t="s">
        <v>18</v>
      </c>
      <c r="D9" s="22" t="s">
        <v>14</v>
      </c>
      <c r="E9" s="22" t="s">
        <v>12</v>
      </c>
      <c r="F9" s="22" t="s">
        <v>12</v>
      </c>
      <c r="G9" s="23" t="s">
        <v>13</v>
      </c>
      <c r="H9" s="23" t="s">
        <v>13</v>
      </c>
      <c r="I9" s="23" t="s">
        <v>43</v>
      </c>
      <c r="J9" s="252" t="s">
        <v>43</v>
      </c>
      <c r="K9" s="23" t="s">
        <v>44</v>
      </c>
      <c r="L9" s="23" t="s">
        <v>45</v>
      </c>
      <c r="M9" s="146"/>
    </row>
    <row r="10" spans="1:13" ht="15.75" customHeight="1" x14ac:dyDescent="0.3">
      <c r="A10" s="12">
        <v>6</v>
      </c>
      <c r="B10" s="12"/>
      <c r="C10" s="12"/>
      <c r="D10" s="12" t="s">
        <v>19</v>
      </c>
      <c r="E10" s="194">
        <f>+E11+E13+E17+E19+E23+E25+E27+E29+E15</f>
        <v>7427363</v>
      </c>
      <c r="F10" s="66">
        <f>+E10/$E$6</f>
        <v>985780.4764748821</v>
      </c>
      <c r="G10" s="9">
        <f>+G11+G13+G15+G17+G19+G21+G23+G25+G27+G35</f>
        <v>7918100</v>
      </c>
      <c r="H10" s="47">
        <f>+G10/$E$6</f>
        <v>1050912.4693078506</v>
      </c>
      <c r="I10" s="70">
        <f>+I11+I13+I15+I17+I19+I23+I25+I27</f>
        <v>987766.00106178247</v>
      </c>
      <c r="J10" s="253">
        <f>+I10*E6</f>
        <v>7442322.9350000005</v>
      </c>
      <c r="K10" s="70">
        <f>+I10</f>
        <v>987766.00106178247</v>
      </c>
      <c r="L10" s="70">
        <f>+K10</f>
        <v>987766.00106178247</v>
      </c>
      <c r="M10" s="146"/>
    </row>
    <row r="11" spans="1:13" ht="39.6" x14ac:dyDescent="0.3">
      <c r="A11" s="12"/>
      <c r="B11" s="17">
        <v>63</v>
      </c>
      <c r="C11" s="17"/>
      <c r="D11" s="17" t="s">
        <v>47</v>
      </c>
      <c r="E11" s="192">
        <f>+E12</f>
        <v>5386200</v>
      </c>
      <c r="F11" s="66">
        <f>+E11/$E$6</f>
        <v>714871.59068285883</v>
      </c>
      <c r="G11" s="9">
        <v>5520200</v>
      </c>
      <c r="H11" s="47">
        <f t="shared" ref="H11:H33" si="0">+G11/$E$6</f>
        <v>732656.44701041875</v>
      </c>
      <c r="I11" s="74">
        <f>+J11/$E$6</f>
        <v>755400</v>
      </c>
      <c r="J11" s="254">
        <v>5691561.3000000007</v>
      </c>
      <c r="K11" s="70">
        <f t="shared" ref="K11:K33" si="1">+I11</f>
        <v>755400</v>
      </c>
      <c r="L11" s="70">
        <f t="shared" ref="L11:L33" si="2">+K11</f>
        <v>755400</v>
      </c>
      <c r="M11" s="146"/>
    </row>
    <row r="12" spans="1:13" ht="39.6" x14ac:dyDescent="0.3">
      <c r="A12" s="13"/>
      <c r="B12" s="13"/>
      <c r="C12" s="14">
        <v>49</v>
      </c>
      <c r="D12" s="18" t="s">
        <v>111</v>
      </c>
      <c r="E12" s="191">
        <f>+List1!B19</f>
        <v>5386200</v>
      </c>
      <c r="F12" s="66">
        <f t="shared" ref="F12:F33" si="3">+E12/$E$6</f>
        <v>714871.59068285883</v>
      </c>
      <c r="G12" s="9">
        <f>+G11</f>
        <v>5520200</v>
      </c>
      <c r="H12" s="47">
        <f t="shared" si="0"/>
        <v>732656.44701041875</v>
      </c>
      <c r="I12" s="74">
        <f t="shared" ref="I12:I33" si="4">+J12/$E$6</f>
        <v>755400</v>
      </c>
      <c r="J12" s="254">
        <v>5691561.3000000007</v>
      </c>
      <c r="K12" s="70">
        <f t="shared" si="1"/>
        <v>755400</v>
      </c>
      <c r="L12" s="70">
        <f t="shared" si="2"/>
        <v>755400</v>
      </c>
    </row>
    <row r="13" spans="1:13" ht="26.4" x14ac:dyDescent="0.3">
      <c r="A13" s="13"/>
      <c r="B13" s="13">
        <v>64</v>
      </c>
      <c r="C13" s="14"/>
      <c r="D13" s="17" t="s">
        <v>112</v>
      </c>
      <c r="E13" s="192">
        <f>+List1!B23</f>
        <v>5</v>
      </c>
      <c r="F13" s="66">
        <f t="shared" si="3"/>
        <v>0.66361404207313024</v>
      </c>
      <c r="G13" s="285">
        <v>100</v>
      </c>
      <c r="H13" s="47">
        <f t="shared" si="0"/>
        <v>13.272280841462605</v>
      </c>
      <c r="I13" s="74">
        <f t="shared" si="4"/>
        <v>10</v>
      </c>
      <c r="J13" s="254">
        <v>75.344999999999999</v>
      </c>
      <c r="K13" s="70">
        <f t="shared" si="1"/>
        <v>10</v>
      </c>
      <c r="L13" s="70">
        <f t="shared" si="2"/>
        <v>10</v>
      </c>
    </row>
    <row r="14" spans="1:13" x14ac:dyDescent="0.3">
      <c r="A14" s="13"/>
      <c r="B14" s="13"/>
      <c r="C14" s="14">
        <v>25</v>
      </c>
      <c r="D14" s="18" t="s">
        <v>113</v>
      </c>
      <c r="E14" s="193">
        <f>+E13</f>
        <v>5</v>
      </c>
      <c r="F14" s="66">
        <f t="shared" si="3"/>
        <v>0.66361404207313024</v>
      </c>
      <c r="G14" s="285">
        <v>100</v>
      </c>
      <c r="H14" s="47">
        <f t="shared" si="0"/>
        <v>13.272280841462605</v>
      </c>
      <c r="I14" s="74">
        <f t="shared" si="4"/>
        <v>10</v>
      </c>
      <c r="J14" s="254">
        <v>75.344999999999999</v>
      </c>
      <c r="K14" s="70">
        <f t="shared" si="1"/>
        <v>10</v>
      </c>
      <c r="L14" s="70">
        <f t="shared" si="2"/>
        <v>10</v>
      </c>
    </row>
    <row r="15" spans="1:13" ht="26.4" x14ac:dyDescent="0.3">
      <c r="A15" s="13"/>
      <c r="B15" s="13">
        <v>66</v>
      </c>
      <c r="C15" s="14"/>
      <c r="D15" s="18" t="s">
        <v>114</v>
      </c>
      <c r="E15" s="46">
        <v>2850</v>
      </c>
      <c r="F15" s="66">
        <f t="shared" si="3"/>
        <v>378.26000398168424</v>
      </c>
      <c r="G15" s="9">
        <v>16000</v>
      </c>
      <c r="H15" s="47">
        <f t="shared" si="0"/>
        <v>2123.5649346340169</v>
      </c>
      <c r="I15" s="74">
        <f t="shared" si="4"/>
        <v>2000</v>
      </c>
      <c r="J15" s="254">
        <v>15069</v>
      </c>
      <c r="K15" s="70">
        <f t="shared" si="1"/>
        <v>2000</v>
      </c>
      <c r="L15" s="70">
        <f t="shared" si="2"/>
        <v>2000</v>
      </c>
    </row>
    <row r="16" spans="1:13" x14ac:dyDescent="0.3">
      <c r="A16" s="13"/>
      <c r="B16" s="13"/>
      <c r="C16" s="14">
        <v>25</v>
      </c>
      <c r="D16" s="18" t="s">
        <v>113</v>
      </c>
      <c r="E16" s="46">
        <f>+E15</f>
        <v>2850</v>
      </c>
      <c r="F16" s="66">
        <f t="shared" si="3"/>
        <v>378.26000398168424</v>
      </c>
      <c r="G16" s="9">
        <v>16000</v>
      </c>
      <c r="H16" s="47">
        <f t="shared" si="0"/>
        <v>2123.5649346340169</v>
      </c>
      <c r="I16" s="74">
        <f t="shared" si="4"/>
        <v>2000</v>
      </c>
      <c r="J16" s="254">
        <v>15069</v>
      </c>
      <c r="K16" s="70">
        <f t="shared" si="1"/>
        <v>2000</v>
      </c>
      <c r="L16" s="70">
        <f t="shared" si="2"/>
        <v>2000</v>
      </c>
    </row>
    <row r="17" spans="1:12" ht="39.6" x14ac:dyDescent="0.3">
      <c r="A17" s="13"/>
      <c r="B17" s="13">
        <v>63</v>
      </c>
      <c r="C17" s="14"/>
      <c r="D17" s="18" t="s">
        <v>47</v>
      </c>
      <c r="E17" s="193">
        <f>+List1!B27</f>
        <v>147586</v>
      </c>
      <c r="F17" s="66">
        <f t="shared" si="3"/>
        <v>19588.028402681</v>
      </c>
      <c r="G17" s="9">
        <f>148000+157000</f>
        <v>305000</v>
      </c>
      <c r="H17" s="47">
        <f t="shared" si="0"/>
        <v>40480.456566460947</v>
      </c>
      <c r="I17" s="74">
        <f t="shared" si="4"/>
        <v>19000</v>
      </c>
      <c r="J17" s="254">
        <v>143155.5</v>
      </c>
      <c r="K17" s="70">
        <f t="shared" si="1"/>
        <v>19000</v>
      </c>
      <c r="L17" s="70">
        <f t="shared" si="2"/>
        <v>19000</v>
      </c>
    </row>
    <row r="18" spans="1:12" ht="26.4" x14ac:dyDescent="0.3">
      <c r="A18" s="13"/>
      <c r="B18" s="13"/>
      <c r="C18" s="14">
        <v>55</v>
      </c>
      <c r="D18" s="18" t="s">
        <v>115</v>
      </c>
      <c r="E18" s="193">
        <f>+E17</f>
        <v>147586</v>
      </c>
      <c r="F18" s="66">
        <f t="shared" si="3"/>
        <v>19588.028402681</v>
      </c>
      <c r="G18" s="9">
        <f>+G17</f>
        <v>305000</v>
      </c>
      <c r="H18" s="47">
        <f t="shared" si="0"/>
        <v>40480.456566460947</v>
      </c>
      <c r="I18" s="74">
        <f t="shared" si="4"/>
        <v>19000</v>
      </c>
      <c r="J18" s="254">
        <v>143155.5</v>
      </c>
      <c r="K18" s="70">
        <f t="shared" si="1"/>
        <v>19000</v>
      </c>
      <c r="L18" s="70">
        <f t="shared" si="2"/>
        <v>19000</v>
      </c>
    </row>
    <row r="19" spans="1:12" ht="26.4" x14ac:dyDescent="0.3">
      <c r="A19" s="13"/>
      <c r="B19" s="13">
        <v>65</v>
      </c>
      <c r="C19" s="14"/>
      <c r="D19" s="18" t="s">
        <v>116</v>
      </c>
      <c r="E19" s="193">
        <f>+E20</f>
        <v>104252</v>
      </c>
      <c r="F19" s="66">
        <f t="shared" si="3"/>
        <v>13836.618222841595</v>
      </c>
      <c r="G19" s="9">
        <v>133500</v>
      </c>
      <c r="H19" s="47">
        <f t="shared" si="0"/>
        <v>17718.494923352577</v>
      </c>
      <c r="I19" s="74">
        <f t="shared" si="4"/>
        <v>18000</v>
      </c>
      <c r="J19" s="254">
        <v>135621</v>
      </c>
      <c r="K19" s="70">
        <f t="shared" si="1"/>
        <v>18000</v>
      </c>
      <c r="L19" s="70">
        <f t="shared" si="2"/>
        <v>18000</v>
      </c>
    </row>
    <row r="20" spans="1:12" ht="26.4" x14ac:dyDescent="0.3">
      <c r="A20" s="13"/>
      <c r="B20" s="13"/>
      <c r="C20" s="14">
        <v>55</v>
      </c>
      <c r="D20" s="18" t="s">
        <v>115</v>
      </c>
      <c r="E20" s="193">
        <f>+List1!B33</f>
        <v>104252</v>
      </c>
      <c r="F20" s="66">
        <f t="shared" si="3"/>
        <v>13836.618222841595</v>
      </c>
      <c r="G20" s="9">
        <f>+G19</f>
        <v>133500</v>
      </c>
      <c r="H20" s="47">
        <f t="shared" si="0"/>
        <v>17718.494923352577</v>
      </c>
      <c r="I20" s="74">
        <f t="shared" si="4"/>
        <v>18000</v>
      </c>
      <c r="J20" s="254">
        <v>135621</v>
      </c>
      <c r="K20" s="70">
        <f t="shared" si="1"/>
        <v>18000</v>
      </c>
      <c r="L20" s="70">
        <f t="shared" si="2"/>
        <v>18000</v>
      </c>
    </row>
    <row r="21" spans="1:12" ht="26.4" x14ac:dyDescent="0.3">
      <c r="A21" s="13"/>
      <c r="B21" s="13">
        <v>66</v>
      </c>
      <c r="C21" s="14"/>
      <c r="D21" s="18" t="s">
        <v>114</v>
      </c>
      <c r="E21" s="46">
        <v>0</v>
      </c>
      <c r="F21" s="66">
        <f t="shared" si="3"/>
        <v>0</v>
      </c>
      <c r="G21" s="9">
        <v>467500</v>
      </c>
      <c r="H21" s="47">
        <f t="shared" si="0"/>
        <v>62047.912933837673</v>
      </c>
      <c r="I21" s="74">
        <f t="shared" si="4"/>
        <v>0</v>
      </c>
      <c r="J21" s="254">
        <v>0</v>
      </c>
      <c r="K21" s="70">
        <f t="shared" si="1"/>
        <v>0</v>
      </c>
      <c r="L21" s="70">
        <f t="shared" si="2"/>
        <v>0</v>
      </c>
    </row>
    <row r="22" spans="1:12" ht="26.4" x14ac:dyDescent="0.3">
      <c r="A22" s="13"/>
      <c r="B22" s="13"/>
      <c r="C22" s="14">
        <v>55</v>
      </c>
      <c r="D22" s="18" t="s">
        <v>115</v>
      </c>
      <c r="E22" s="46">
        <v>0</v>
      </c>
      <c r="F22" s="66">
        <f t="shared" si="3"/>
        <v>0</v>
      </c>
      <c r="G22" s="9">
        <f>+G21</f>
        <v>467500</v>
      </c>
      <c r="H22" s="47">
        <f t="shared" si="0"/>
        <v>62047.912933837673</v>
      </c>
      <c r="I22" s="74">
        <f t="shared" si="4"/>
        <v>0</v>
      </c>
      <c r="J22" s="254">
        <v>0</v>
      </c>
      <c r="K22" s="70">
        <f t="shared" si="1"/>
        <v>0</v>
      </c>
      <c r="L22" s="70">
        <f t="shared" si="2"/>
        <v>0</v>
      </c>
    </row>
    <row r="23" spans="1:12" ht="39.6" x14ac:dyDescent="0.3">
      <c r="A23" s="13"/>
      <c r="B23" s="13">
        <v>67</v>
      </c>
      <c r="C23" s="14"/>
      <c r="D23" s="18" t="s">
        <v>117</v>
      </c>
      <c r="E23" s="193">
        <f>+List1!B7</f>
        <v>957268</v>
      </c>
      <c r="F23" s="66">
        <f t="shared" si="3"/>
        <v>127051.29736545225</v>
      </c>
      <c r="G23" s="9">
        <f>+List2!G30</f>
        <v>762300</v>
      </c>
      <c r="H23" s="47">
        <f t="shared" si="0"/>
        <v>101174.59685446943</v>
      </c>
      <c r="I23" s="74">
        <f t="shared" si="4"/>
        <v>97533.000199084214</v>
      </c>
      <c r="J23" s="254">
        <v>734862.39</v>
      </c>
      <c r="K23" s="70">
        <f t="shared" si="1"/>
        <v>97533.000199084214</v>
      </c>
      <c r="L23" s="70">
        <f t="shared" si="2"/>
        <v>97533.000199084214</v>
      </c>
    </row>
    <row r="24" spans="1:12" x14ac:dyDescent="0.3">
      <c r="A24" s="13"/>
      <c r="B24" s="13"/>
      <c r="C24" s="14">
        <v>11</v>
      </c>
      <c r="D24" s="18" t="s">
        <v>118</v>
      </c>
      <c r="E24" s="193">
        <f>+E23</f>
        <v>957268</v>
      </c>
      <c r="F24" s="66">
        <f t="shared" si="3"/>
        <v>127051.29736545225</v>
      </c>
      <c r="G24" s="9">
        <f>+G23</f>
        <v>762300</v>
      </c>
      <c r="H24" s="47">
        <f t="shared" si="0"/>
        <v>101174.59685446943</v>
      </c>
      <c r="I24" s="74">
        <f t="shared" si="4"/>
        <v>97533.000199084214</v>
      </c>
      <c r="J24" s="254">
        <v>734862.39</v>
      </c>
      <c r="K24" s="70">
        <f t="shared" si="1"/>
        <v>97533.000199084214</v>
      </c>
      <c r="L24" s="70">
        <f t="shared" si="2"/>
        <v>97533.000199084214</v>
      </c>
    </row>
    <row r="25" spans="1:12" ht="39.6" x14ac:dyDescent="0.3">
      <c r="A25" s="13"/>
      <c r="B25" s="13">
        <v>67</v>
      </c>
      <c r="C25" s="14"/>
      <c r="D25" s="18" t="s">
        <v>117</v>
      </c>
      <c r="E25" s="193">
        <f>+List1!B10</f>
        <v>650095</v>
      </c>
      <c r="F25" s="66">
        <f t="shared" si="3"/>
        <v>86282.434136306314</v>
      </c>
      <c r="G25" s="9">
        <f>+List2!G31</f>
        <v>527000</v>
      </c>
      <c r="H25" s="47">
        <f t="shared" si="0"/>
        <v>69944.92003450793</v>
      </c>
      <c r="I25" s="74">
        <f t="shared" si="4"/>
        <v>70208.000530891237</v>
      </c>
      <c r="J25" s="254">
        <v>528982.18000000005</v>
      </c>
      <c r="K25" s="70">
        <f t="shared" si="1"/>
        <v>70208.000530891237</v>
      </c>
      <c r="L25" s="70">
        <f t="shared" si="2"/>
        <v>70208.000530891237</v>
      </c>
    </row>
    <row r="26" spans="1:12" x14ac:dyDescent="0.3">
      <c r="A26" s="13"/>
      <c r="B26" s="13"/>
      <c r="C26" s="14">
        <v>31</v>
      </c>
      <c r="D26" s="18" t="s">
        <v>102</v>
      </c>
      <c r="E26" s="193">
        <f>+E25</f>
        <v>650095</v>
      </c>
      <c r="F26" s="66">
        <f t="shared" si="3"/>
        <v>86282.434136306314</v>
      </c>
      <c r="G26" s="9">
        <f>+G25</f>
        <v>527000</v>
      </c>
      <c r="H26" s="47">
        <f t="shared" si="0"/>
        <v>69944.92003450793</v>
      </c>
      <c r="I26" s="74">
        <f t="shared" si="4"/>
        <v>70208.000530891237</v>
      </c>
      <c r="J26" s="254">
        <v>528982.18000000005</v>
      </c>
      <c r="K26" s="70">
        <f t="shared" si="1"/>
        <v>70208.000530891237</v>
      </c>
      <c r="L26" s="70">
        <f t="shared" si="2"/>
        <v>70208.000530891237</v>
      </c>
    </row>
    <row r="27" spans="1:12" ht="39.6" x14ac:dyDescent="0.3">
      <c r="A27" s="13"/>
      <c r="B27" s="13">
        <v>67</v>
      </c>
      <c r="C27" s="14"/>
      <c r="D27" s="18" t="s">
        <v>117</v>
      </c>
      <c r="E27" s="193">
        <f>+List1!B13</f>
        <v>177507</v>
      </c>
      <c r="F27" s="66">
        <f t="shared" si="3"/>
        <v>23559.227553255027</v>
      </c>
      <c r="G27" s="9">
        <f>+List2!G33</f>
        <v>186500</v>
      </c>
      <c r="H27" s="47">
        <f t="shared" si="0"/>
        <v>24752.803769327758</v>
      </c>
      <c r="I27" s="74">
        <f t="shared" si="4"/>
        <v>25615.000331807019</v>
      </c>
      <c r="J27" s="254">
        <v>192996.22</v>
      </c>
      <c r="K27" s="70">
        <f t="shared" si="1"/>
        <v>25615.000331807019</v>
      </c>
      <c r="L27" s="70">
        <f t="shared" si="2"/>
        <v>25615.000331807019</v>
      </c>
    </row>
    <row r="28" spans="1:12" x14ac:dyDescent="0.3">
      <c r="A28" s="13"/>
      <c r="B28" s="13"/>
      <c r="C28" s="14">
        <v>44</v>
      </c>
      <c r="D28" s="18" t="s">
        <v>101</v>
      </c>
      <c r="E28" s="193">
        <f>+E27</f>
        <v>177507</v>
      </c>
      <c r="F28" s="66">
        <f t="shared" si="3"/>
        <v>23559.227553255027</v>
      </c>
      <c r="G28" s="9">
        <f>+G27</f>
        <v>186500</v>
      </c>
      <c r="H28" s="47">
        <f t="shared" si="0"/>
        <v>24752.803769327758</v>
      </c>
      <c r="I28" s="74">
        <f t="shared" si="4"/>
        <v>25615.000331807019</v>
      </c>
      <c r="J28" s="254">
        <v>192996.22</v>
      </c>
      <c r="K28" s="70">
        <f t="shared" si="1"/>
        <v>25615.000331807019</v>
      </c>
      <c r="L28" s="70">
        <f t="shared" si="2"/>
        <v>25615.000331807019</v>
      </c>
    </row>
    <row r="29" spans="1:12" ht="39.6" x14ac:dyDescent="0.3">
      <c r="A29" s="13"/>
      <c r="B29" s="13">
        <v>67</v>
      </c>
      <c r="C29" s="14"/>
      <c r="D29" s="18" t="s">
        <v>117</v>
      </c>
      <c r="E29" s="193">
        <f>+List1!B16</f>
        <v>1600</v>
      </c>
      <c r="F29" s="66">
        <f t="shared" si="3"/>
        <v>212.35649346340168</v>
      </c>
      <c r="G29" s="9">
        <v>0</v>
      </c>
      <c r="H29" s="47">
        <f t="shared" si="0"/>
        <v>0</v>
      </c>
      <c r="I29" s="74">
        <f t="shared" si="4"/>
        <v>0</v>
      </c>
      <c r="J29" s="254">
        <v>0</v>
      </c>
      <c r="K29" s="70">
        <f t="shared" si="1"/>
        <v>0</v>
      </c>
      <c r="L29" s="70">
        <f t="shared" si="2"/>
        <v>0</v>
      </c>
    </row>
    <row r="30" spans="1:12" x14ac:dyDescent="0.3">
      <c r="A30" s="13"/>
      <c r="B30" s="13"/>
      <c r="C30" s="14">
        <v>42</v>
      </c>
      <c r="D30" s="18" t="s">
        <v>101</v>
      </c>
      <c r="E30" s="193">
        <f>+E29</f>
        <v>1600</v>
      </c>
      <c r="F30" s="66">
        <f t="shared" si="3"/>
        <v>212.35649346340168</v>
      </c>
      <c r="G30" s="9">
        <v>0</v>
      </c>
      <c r="H30" s="47">
        <f t="shared" si="0"/>
        <v>0</v>
      </c>
      <c r="I30" s="74">
        <f t="shared" si="4"/>
        <v>0</v>
      </c>
      <c r="J30" s="254">
        <v>0</v>
      </c>
      <c r="K30" s="70">
        <f t="shared" si="1"/>
        <v>0</v>
      </c>
      <c r="L30" s="70">
        <f t="shared" si="2"/>
        <v>0</v>
      </c>
    </row>
    <row r="31" spans="1:12" ht="26.4" x14ac:dyDescent="0.3">
      <c r="A31" s="15">
        <v>7</v>
      </c>
      <c r="B31" s="16"/>
      <c r="C31" s="16"/>
      <c r="D31" s="28" t="s">
        <v>21</v>
      </c>
      <c r="E31" s="194">
        <v>401</v>
      </c>
      <c r="F31" s="66">
        <f t="shared" si="3"/>
        <v>53.221846174265046</v>
      </c>
      <c r="G31" s="68">
        <f>+G32</f>
        <v>400</v>
      </c>
      <c r="H31" s="47">
        <f t="shared" si="0"/>
        <v>53.089123365850419</v>
      </c>
      <c r="I31" s="74">
        <f t="shared" si="4"/>
        <v>0</v>
      </c>
      <c r="J31" s="254"/>
      <c r="K31" s="70">
        <f t="shared" si="1"/>
        <v>0</v>
      </c>
      <c r="L31" s="70">
        <f t="shared" si="2"/>
        <v>0</v>
      </c>
    </row>
    <row r="32" spans="1:12" ht="39.6" x14ac:dyDescent="0.3">
      <c r="A32" s="17"/>
      <c r="B32" s="17">
        <v>72</v>
      </c>
      <c r="C32" s="17"/>
      <c r="D32" s="29" t="s">
        <v>46</v>
      </c>
      <c r="E32" s="192">
        <v>401</v>
      </c>
      <c r="F32" s="66">
        <f t="shared" si="3"/>
        <v>53.221846174265046</v>
      </c>
      <c r="G32" s="9">
        <v>400</v>
      </c>
      <c r="H32" s="47">
        <f t="shared" si="0"/>
        <v>53.089123365850419</v>
      </c>
      <c r="I32" s="74">
        <f t="shared" si="4"/>
        <v>50.000663614042075</v>
      </c>
      <c r="J32" s="254">
        <v>376.73</v>
      </c>
      <c r="K32" s="70">
        <f t="shared" si="1"/>
        <v>50.000663614042075</v>
      </c>
      <c r="L32" s="70">
        <f t="shared" si="2"/>
        <v>50.000663614042075</v>
      </c>
    </row>
    <row r="33" spans="1:12" x14ac:dyDescent="0.3">
      <c r="A33" s="17"/>
      <c r="B33" s="17"/>
      <c r="C33" s="14">
        <v>25</v>
      </c>
      <c r="D33" s="14" t="s">
        <v>113</v>
      </c>
      <c r="E33" s="191">
        <f>+E32</f>
        <v>401</v>
      </c>
      <c r="F33" s="66">
        <f t="shared" si="3"/>
        <v>53.221846174265046</v>
      </c>
      <c r="G33" s="9">
        <v>400</v>
      </c>
      <c r="H33" s="47">
        <f t="shared" si="0"/>
        <v>53.089123365850419</v>
      </c>
      <c r="I33" s="74">
        <f t="shared" si="4"/>
        <v>50.000663614042075</v>
      </c>
      <c r="J33" s="254">
        <v>376.73</v>
      </c>
      <c r="K33" s="70">
        <f t="shared" si="1"/>
        <v>50.000663614042075</v>
      </c>
      <c r="L33" s="70">
        <f t="shared" si="2"/>
        <v>50.000663614042075</v>
      </c>
    </row>
    <row r="34" spans="1:12" s="265" customFormat="1" x14ac:dyDescent="0.3">
      <c r="A34" s="17">
        <v>9</v>
      </c>
      <c r="B34" s="17"/>
      <c r="C34" s="14"/>
      <c r="D34" s="14"/>
      <c r="E34" s="283"/>
      <c r="F34" s="47"/>
      <c r="G34" s="10"/>
      <c r="H34" s="47"/>
      <c r="I34" s="74"/>
      <c r="J34" s="254"/>
      <c r="K34" s="70"/>
      <c r="L34" s="70"/>
    </row>
    <row r="35" spans="1:12" s="265" customFormat="1" x14ac:dyDescent="0.3">
      <c r="A35" s="17"/>
      <c r="B35" s="17"/>
      <c r="C35" s="14">
        <v>29</v>
      </c>
      <c r="D35" s="14" t="s">
        <v>192</v>
      </c>
      <c r="E35" s="283"/>
      <c r="F35" s="47"/>
      <c r="G35" s="10"/>
      <c r="H35" s="47"/>
      <c r="I35" s="74"/>
      <c r="J35" s="254"/>
      <c r="K35" s="70"/>
      <c r="L35" s="70"/>
    </row>
    <row r="36" spans="1:12" x14ac:dyDescent="0.3">
      <c r="A36">
        <v>7.5345000000000004</v>
      </c>
      <c r="D36" s="266">
        <f>+E24+E26+E28+E30</f>
        <v>1786470</v>
      </c>
      <c r="I36" s="124">
        <v>987816</v>
      </c>
    </row>
    <row r="37" spans="1:12" ht="15.6" x14ac:dyDescent="0.3">
      <c r="A37" s="300" t="s">
        <v>22</v>
      </c>
      <c r="B37" s="322"/>
      <c r="C37" s="322"/>
      <c r="D37" s="322"/>
      <c r="E37" s="322"/>
      <c r="F37" s="322"/>
      <c r="G37" s="322"/>
      <c r="H37" s="322"/>
      <c r="I37" s="322"/>
      <c r="J37" s="322"/>
      <c r="K37" s="322"/>
      <c r="L37" s="322"/>
    </row>
    <row r="38" spans="1:12" ht="17.399999999999999" x14ac:dyDescent="0.3">
      <c r="A38" s="4"/>
      <c r="B38" s="4"/>
      <c r="C38" s="4"/>
      <c r="D38" s="4"/>
      <c r="E38" s="27"/>
      <c r="F38" s="4"/>
      <c r="G38" s="76" t="s">
        <v>53</v>
      </c>
      <c r="H38" s="76" t="s">
        <v>52</v>
      </c>
      <c r="I38" s="76" t="s">
        <v>52</v>
      </c>
      <c r="J38" s="256" t="s">
        <v>53</v>
      </c>
      <c r="K38" s="76" t="s">
        <v>52</v>
      </c>
      <c r="L38" s="76" t="s">
        <v>52</v>
      </c>
    </row>
    <row r="39" spans="1:12" ht="26.4" x14ac:dyDescent="0.3">
      <c r="A39" s="23" t="s">
        <v>16</v>
      </c>
      <c r="B39" s="22" t="s">
        <v>17</v>
      </c>
      <c r="C39" s="22" t="s">
        <v>18</v>
      </c>
      <c r="D39" s="22" t="s">
        <v>23</v>
      </c>
      <c r="E39" s="22" t="s">
        <v>12</v>
      </c>
      <c r="F39" s="22" t="s">
        <v>12</v>
      </c>
      <c r="G39" s="23" t="s">
        <v>13</v>
      </c>
      <c r="H39" s="23" t="s">
        <v>13</v>
      </c>
      <c r="I39" s="23" t="s">
        <v>43</v>
      </c>
      <c r="J39" s="252" t="s">
        <v>43</v>
      </c>
      <c r="K39" s="23" t="s">
        <v>44</v>
      </c>
      <c r="L39" s="23" t="s">
        <v>45</v>
      </c>
    </row>
    <row r="40" spans="1:12" ht="15.75" customHeight="1" x14ac:dyDescent="0.3">
      <c r="A40" s="12">
        <v>3</v>
      </c>
      <c r="B40" s="12"/>
      <c r="C40" s="12"/>
      <c r="D40" s="12" t="s">
        <v>24</v>
      </c>
      <c r="E40" s="194">
        <f>+E41+E43+E45+E47+E49+E51+E53+E55+E59+E61+E67+E71+E57</f>
        <v>7242901.9499999993</v>
      </c>
      <c r="F40" s="9">
        <f>+E40/$E$6</f>
        <v>961298.28787577129</v>
      </c>
      <c r="G40" s="68">
        <f>+G41+G43+G45+G47+G49+G51+G53+G59+G61+G63+G65+G67+G69+G72</f>
        <v>7257670</v>
      </c>
      <c r="H40" s="70">
        <f>G40/'POSEBNI DIO'!$F$4</f>
        <v>963258.34494657896</v>
      </c>
      <c r="I40" s="70">
        <f>+I41+I43+I45+I47+I49+I52+I54+I59+I61+I63+I71</f>
        <v>962846.00119450525</v>
      </c>
      <c r="J40" s="253">
        <f>+I40*$A$36</f>
        <v>7254563.1960000005</v>
      </c>
      <c r="K40" s="70">
        <f>+J40/$A$36</f>
        <v>962846.00119450525</v>
      </c>
      <c r="L40" s="70">
        <f>+K40</f>
        <v>962846.00119450525</v>
      </c>
    </row>
    <row r="41" spans="1:12" ht="15.75" customHeight="1" x14ac:dyDescent="0.3">
      <c r="A41" s="12"/>
      <c r="B41" s="17">
        <v>31</v>
      </c>
      <c r="C41" s="17"/>
      <c r="D41" s="17" t="s">
        <v>25</v>
      </c>
      <c r="E41" s="260">
        <f>+'POSEBNI DIO'!E41+'POSEBNI DIO'!E49</f>
        <v>452873.88</v>
      </c>
      <c r="F41" s="9">
        <f t="shared" ref="F41:F79" si="5">+E41/$E$6</f>
        <v>60106.693211228347</v>
      </c>
      <c r="G41" s="9">
        <f>+'POSEBNI DIO'!G41+'POSEBNI DIO'!G49+'POSEBNI DIO'!G54</f>
        <v>515200</v>
      </c>
      <c r="H41" s="10">
        <f>G41/'POSEBNI DIO'!$F$4</f>
        <v>68378.790895215338</v>
      </c>
      <c r="I41" s="36">
        <f>+'POSEBNI DIO'!J41+'POSEBNI DIO'!J49+'POSEBNI DIO'!J54</f>
        <v>75893</v>
      </c>
      <c r="J41" s="253">
        <f t="shared" ref="J41:J79" si="6">+I41*$A$36</f>
        <v>571815.80850000004</v>
      </c>
      <c r="K41" s="70">
        <f t="shared" ref="K41:K79" si="7">+J41/$A$36</f>
        <v>75893</v>
      </c>
      <c r="L41" s="70">
        <f t="shared" ref="L41:L79" si="8">+K41</f>
        <v>75893</v>
      </c>
    </row>
    <row r="42" spans="1:12" x14ac:dyDescent="0.3">
      <c r="A42" s="13"/>
      <c r="B42" s="13"/>
      <c r="C42" s="14">
        <v>11</v>
      </c>
      <c r="D42" s="14" t="s">
        <v>20</v>
      </c>
      <c r="E42" s="261">
        <f>+E41</f>
        <v>452873.88</v>
      </c>
      <c r="F42" s="9">
        <f t="shared" si="5"/>
        <v>60106.693211228347</v>
      </c>
      <c r="G42" s="9">
        <f>+G41</f>
        <v>515200</v>
      </c>
      <c r="H42" s="10">
        <f>G42/'POSEBNI DIO'!$F$4</f>
        <v>68378.790895215338</v>
      </c>
      <c r="I42" s="36">
        <f>+I41</f>
        <v>75893</v>
      </c>
      <c r="J42" s="253">
        <f t="shared" si="6"/>
        <v>571815.80850000004</v>
      </c>
      <c r="K42" s="70">
        <f t="shared" si="7"/>
        <v>75893</v>
      </c>
      <c r="L42" s="70">
        <f t="shared" si="8"/>
        <v>75893</v>
      </c>
    </row>
    <row r="43" spans="1:12" x14ac:dyDescent="0.3">
      <c r="A43" s="13"/>
      <c r="B43" s="13">
        <v>32</v>
      </c>
      <c r="C43" s="14"/>
      <c r="D43" s="13" t="s">
        <v>35</v>
      </c>
      <c r="E43" s="262">
        <v>281395</v>
      </c>
      <c r="F43" s="9">
        <f t="shared" si="5"/>
        <v>37347.534673833696</v>
      </c>
      <c r="G43" s="9">
        <f>+'POSEBNI DIO'!G29+'POSEBNI DIO'!G42+'POSEBNI DIO'!G50+'POSEBNI DIO'!G55</f>
        <v>96100</v>
      </c>
      <c r="H43" s="10">
        <f>G43/'POSEBNI DIO'!$F$4</f>
        <v>12754.661888645564</v>
      </c>
      <c r="I43" s="36">
        <f>+'POSEBNI DIO'!J42+'POSEBNI DIO'!J50+'POSEBNI DIO'!J55</f>
        <v>3640</v>
      </c>
      <c r="J43" s="253">
        <f t="shared" si="6"/>
        <v>27425.58</v>
      </c>
      <c r="K43" s="70">
        <f t="shared" si="7"/>
        <v>3640</v>
      </c>
      <c r="L43" s="70">
        <f t="shared" si="8"/>
        <v>3640</v>
      </c>
    </row>
    <row r="44" spans="1:12" x14ac:dyDescent="0.3">
      <c r="A44" s="13"/>
      <c r="B44" s="13"/>
      <c r="C44" s="14">
        <v>11</v>
      </c>
      <c r="D44" s="14" t="s">
        <v>20</v>
      </c>
      <c r="E44" s="261">
        <f>+E43</f>
        <v>281395</v>
      </c>
      <c r="F44" s="9">
        <f t="shared" si="5"/>
        <v>37347.534673833696</v>
      </c>
      <c r="G44" s="9">
        <f>+'POSEBNI DIO'!G29+'POSEBNI DIO'!G42+'POSEBNI DIO'!G50+'POSEBNI DIO'!G55</f>
        <v>96100</v>
      </c>
      <c r="H44" s="10">
        <f>G44/'POSEBNI DIO'!$F$4</f>
        <v>12754.661888645564</v>
      </c>
      <c r="I44" s="36">
        <f>+I43</f>
        <v>3640</v>
      </c>
      <c r="J44" s="253">
        <f t="shared" si="6"/>
        <v>27425.58</v>
      </c>
      <c r="K44" s="70">
        <f t="shared" si="7"/>
        <v>3640</v>
      </c>
      <c r="L44" s="70">
        <f t="shared" si="8"/>
        <v>3640</v>
      </c>
    </row>
    <row r="45" spans="1:12" x14ac:dyDescent="0.3">
      <c r="A45" s="13"/>
      <c r="B45" s="13">
        <v>37</v>
      </c>
      <c r="C45" s="14"/>
      <c r="D45" s="14" t="s">
        <v>104</v>
      </c>
      <c r="E45" s="261">
        <v>223000</v>
      </c>
      <c r="F45" s="9">
        <f t="shared" si="5"/>
        <v>29597.186276461609</v>
      </c>
      <c r="G45" s="9">
        <f>+'POSEBNI DIO'!G30+'POSEBNI DIO'!G43</f>
        <v>151000</v>
      </c>
      <c r="H45" s="9">
        <f>+'POSEBNI DIO'!H30+'POSEBNI DIO'!H43</f>
        <v>20041.144070608534</v>
      </c>
      <c r="I45" s="248">
        <f>+'POSEBNI DIO'!J43</f>
        <v>18000</v>
      </c>
      <c r="J45" s="253">
        <f t="shared" si="6"/>
        <v>135621</v>
      </c>
      <c r="K45" s="70">
        <f t="shared" si="7"/>
        <v>18000</v>
      </c>
      <c r="L45" s="70">
        <f t="shared" si="8"/>
        <v>18000</v>
      </c>
    </row>
    <row r="46" spans="1:12" x14ac:dyDescent="0.3">
      <c r="A46" s="13"/>
      <c r="B46" s="13"/>
      <c r="C46" s="14">
        <v>11</v>
      </c>
      <c r="D46" s="14" t="s">
        <v>20</v>
      </c>
      <c r="E46" s="261">
        <f>+E45</f>
        <v>223000</v>
      </c>
      <c r="F46" s="9">
        <f t="shared" si="5"/>
        <v>29597.186276461609</v>
      </c>
      <c r="G46" s="9">
        <f>+G45</f>
        <v>151000</v>
      </c>
      <c r="H46" s="10">
        <f>G46/'POSEBNI DIO'!$F$4</f>
        <v>20041.144070608534</v>
      </c>
      <c r="I46" s="36">
        <f>+I45</f>
        <v>18000</v>
      </c>
      <c r="J46" s="253">
        <f t="shared" si="6"/>
        <v>135621</v>
      </c>
      <c r="K46" s="70">
        <f t="shared" si="7"/>
        <v>18000</v>
      </c>
      <c r="L46" s="70">
        <f t="shared" si="8"/>
        <v>18000</v>
      </c>
    </row>
    <row r="47" spans="1:12" x14ac:dyDescent="0.3">
      <c r="A47" s="13"/>
      <c r="B47" s="13">
        <v>31</v>
      </c>
      <c r="C47" s="14"/>
      <c r="D47" s="14" t="s">
        <v>25</v>
      </c>
      <c r="E47" s="191">
        <f>+'POSEBNI DIO'!E19</f>
        <v>5243395.43</v>
      </c>
      <c r="F47" s="9">
        <f t="shared" si="5"/>
        <v>695918.16709801566</v>
      </c>
      <c r="G47" s="9">
        <f>+G48</f>
        <v>5393000</v>
      </c>
      <c r="H47" s="10">
        <f>G47/'POSEBNI DIO'!$F$4</f>
        <v>715774.10578007821</v>
      </c>
      <c r="I47" s="36">
        <f>+'POSEBNI DIO'!J19</f>
        <v>734800</v>
      </c>
      <c r="J47" s="253">
        <f t="shared" si="6"/>
        <v>5536350.6000000006</v>
      </c>
      <c r="K47" s="70">
        <f t="shared" si="7"/>
        <v>734800</v>
      </c>
      <c r="L47" s="70">
        <f t="shared" si="8"/>
        <v>734800</v>
      </c>
    </row>
    <row r="48" spans="1:12" ht="26.4" x14ac:dyDescent="0.3">
      <c r="A48" s="13"/>
      <c r="B48" s="13"/>
      <c r="C48" s="14">
        <v>49</v>
      </c>
      <c r="D48" s="18" t="s">
        <v>100</v>
      </c>
      <c r="E48" s="191">
        <f>+E47</f>
        <v>5243395.43</v>
      </c>
      <c r="F48" s="9">
        <f t="shared" si="5"/>
        <v>695918.16709801566</v>
      </c>
      <c r="G48" s="9">
        <f>+'POSEBNI DIO'!G19</f>
        <v>5393000</v>
      </c>
      <c r="H48" s="10">
        <f>G48/'POSEBNI DIO'!$F$4</f>
        <v>715774.10578007821</v>
      </c>
      <c r="I48" s="36">
        <f>+I47</f>
        <v>734800</v>
      </c>
      <c r="J48" s="253">
        <f t="shared" si="6"/>
        <v>5536350.6000000006</v>
      </c>
      <c r="K48" s="70">
        <f t="shared" si="7"/>
        <v>734800</v>
      </c>
      <c r="L48" s="70">
        <f t="shared" si="8"/>
        <v>734800</v>
      </c>
    </row>
    <row r="49" spans="1:12" x14ac:dyDescent="0.3">
      <c r="A49" s="13"/>
      <c r="B49" s="13">
        <v>32</v>
      </c>
      <c r="C49" s="14"/>
      <c r="D49" s="14" t="s">
        <v>35</v>
      </c>
      <c r="E49" s="261">
        <f>+'POSEBNI DIO'!E20</f>
        <v>142804.92000000001</v>
      </c>
      <c r="F49" s="9">
        <f t="shared" si="5"/>
        <v>18953.470037826002</v>
      </c>
      <c r="G49" s="9">
        <f>+'POSEBNI DIO'!G20</f>
        <v>127200</v>
      </c>
      <c r="H49" s="10">
        <f>G49/'POSEBNI DIO'!$F$4</f>
        <v>16882.341230340433</v>
      </c>
      <c r="I49" s="36">
        <f>+'POSEBNI DIO'!J20</f>
        <v>20600</v>
      </c>
      <c r="J49" s="253">
        <f t="shared" si="6"/>
        <v>155210.70000000001</v>
      </c>
      <c r="K49" s="70">
        <f t="shared" si="7"/>
        <v>20600</v>
      </c>
      <c r="L49" s="70">
        <f t="shared" si="8"/>
        <v>20600</v>
      </c>
    </row>
    <row r="50" spans="1:12" ht="26.4" x14ac:dyDescent="0.3">
      <c r="A50" s="13"/>
      <c r="B50" s="13"/>
      <c r="C50" s="14">
        <v>49</v>
      </c>
      <c r="D50" s="18" t="s">
        <v>100</v>
      </c>
      <c r="E50" s="261">
        <f>+E49</f>
        <v>142804.92000000001</v>
      </c>
      <c r="F50" s="9">
        <f t="shared" si="5"/>
        <v>18953.470037826002</v>
      </c>
      <c r="G50" s="9">
        <f>+G49</f>
        <v>127200</v>
      </c>
      <c r="H50" s="10">
        <f>G50/'POSEBNI DIO'!$F$4</f>
        <v>16882.341230340433</v>
      </c>
      <c r="I50" s="36">
        <f>+I49</f>
        <v>20600</v>
      </c>
      <c r="J50" s="253">
        <f t="shared" si="6"/>
        <v>155210.70000000001</v>
      </c>
      <c r="K50" s="70">
        <f t="shared" si="7"/>
        <v>20600</v>
      </c>
      <c r="L50" s="70">
        <f t="shared" si="8"/>
        <v>20600</v>
      </c>
    </row>
    <row r="51" spans="1:12" x14ac:dyDescent="0.3">
      <c r="A51" s="13"/>
      <c r="B51" s="13">
        <v>31</v>
      </c>
      <c r="C51" s="14"/>
      <c r="D51" s="14" t="s">
        <v>25</v>
      </c>
      <c r="E51" s="191">
        <v>160406</v>
      </c>
      <c r="F51" s="9">
        <f t="shared" si="5"/>
        <v>21289.534806556505</v>
      </c>
      <c r="G51" s="9">
        <f>+'POSEBNI DIO'!G63</f>
        <v>166500</v>
      </c>
      <c r="H51" s="10">
        <f>G51/'POSEBNI DIO'!$F$4</f>
        <v>22098.347601035235</v>
      </c>
      <c r="I51" s="36">
        <f>+'POSEBNI DIO'!J63</f>
        <v>22320</v>
      </c>
      <c r="J51" s="253">
        <f t="shared" si="6"/>
        <v>168170.04</v>
      </c>
      <c r="K51" s="70">
        <f t="shared" si="7"/>
        <v>22320</v>
      </c>
      <c r="L51" s="70">
        <f t="shared" si="8"/>
        <v>22320</v>
      </c>
    </row>
    <row r="52" spans="1:12" x14ac:dyDescent="0.3">
      <c r="A52" s="13"/>
      <c r="B52" s="13"/>
      <c r="C52" s="14">
        <v>44</v>
      </c>
      <c r="D52" s="14" t="s">
        <v>101</v>
      </c>
      <c r="E52" s="191">
        <f>+E51</f>
        <v>160406</v>
      </c>
      <c r="F52" s="9">
        <f t="shared" si="5"/>
        <v>21289.534806556505</v>
      </c>
      <c r="G52" s="9">
        <f>+G51</f>
        <v>166500</v>
      </c>
      <c r="H52" s="10">
        <f>G52/'POSEBNI DIO'!$F$4</f>
        <v>22098.347601035235</v>
      </c>
      <c r="I52" s="36">
        <f>+I51</f>
        <v>22320</v>
      </c>
      <c r="J52" s="253">
        <f t="shared" si="6"/>
        <v>168170.04</v>
      </c>
      <c r="K52" s="70">
        <f t="shared" si="7"/>
        <v>22320</v>
      </c>
      <c r="L52" s="70">
        <f t="shared" si="8"/>
        <v>22320</v>
      </c>
    </row>
    <row r="53" spans="1:12" x14ac:dyDescent="0.3">
      <c r="A53" s="13"/>
      <c r="B53" s="13">
        <v>32</v>
      </c>
      <c r="C53" s="14"/>
      <c r="D53" s="14" t="s">
        <v>35</v>
      </c>
      <c r="E53" s="261">
        <f>+'POSEBNI DIO'!E64+'POSEBNI DIO'!E72</f>
        <v>17100</v>
      </c>
      <c r="F53" s="9">
        <f t="shared" si="5"/>
        <v>2269.5600238901052</v>
      </c>
      <c r="G53" s="9">
        <f>+'POSEBNI DIO'!G64+'POSEBNI DIO'!G72</f>
        <v>20000</v>
      </c>
      <c r="H53" s="10">
        <f>G53/'POSEBNI DIO'!$F$4</f>
        <v>2654.4561682925209</v>
      </c>
      <c r="I53" s="36">
        <f>+'POSEBNI DIO'!J64+'POSEBNI DIO'!J72</f>
        <v>3295</v>
      </c>
      <c r="J53" s="253">
        <f t="shared" si="6"/>
        <v>24826.177500000002</v>
      </c>
      <c r="K53" s="70">
        <f t="shared" si="7"/>
        <v>3295</v>
      </c>
      <c r="L53" s="70">
        <f t="shared" si="8"/>
        <v>3295</v>
      </c>
    </row>
    <row r="54" spans="1:12" x14ac:dyDescent="0.3">
      <c r="A54" s="13"/>
      <c r="B54" s="13"/>
      <c r="C54" s="14">
        <v>44</v>
      </c>
      <c r="D54" s="14" t="s">
        <v>101</v>
      </c>
      <c r="E54" s="261">
        <f>+E53</f>
        <v>17100</v>
      </c>
      <c r="F54" s="9">
        <f t="shared" si="5"/>
        <v>2269.5600238901052</v>
      </c>
      <c r="G54" s="9">
        <f>+G53</f>
        <v>20000</v>
      </c>
      <c r="H54" s="10">
        <f>G54/'POSEBNI DIO'!$F$4</f>
        <v>2654.4561682925209</v>
      </c>
      <c r="I54" s="36">
        <f>+I53</f>
        <v>3295</v>
      </c>
      <c r="J54" s="253">
        <f t="shared" si="6"/>
        <v>24826.177500000002</v>
      </c>
      <c r="K54" s="70">
        <f t="shared" si="7"/>
        <v>3295</v>
      </c>
      <c r="L54" s="70">
        <f t="shared" si="8"/>
        <v>3295</v>
      </c>
    </row>
    <row r="55" spans="1:12" x14ac:dyDescent="0.3">
      <c r="A55" s="13"/>
      <c r="B55" s="13">
        <v>32</v>
      </c>
      <c r="C55" s="14"/>
      <c r="D55" s="14" t="s">
        <v>35</v>
      </c>
      <c r="E55" s="191">
        <f>+'POSEBNI DIO'!E74</f>
        <v>1600</v>
      </c>
      <c r="F55" s="9">
        <f t="shared" si="5"/>
        <v>212.35649346340168</v>
      </c>
      <c r="G55" s="9"/>
      <c r="H55" s="10">
        <f>G55/'POSEBNI DIO'!$F$4</f>
        <v>0</v>
      </c>
      <c r="I55" s="36"/>
      <c r="J55" s="253">
        <f t="shared" si="6"/>
        <v>0</v>
      </c>
      <c r="K55" s="70">
        <f t="shared" si="7"/>
        <v>0</v>
      </c>
      <c r="L55" s="70">
        <f t="shared" si="8"/>
        <v>0</v>
      </c>
    </row>
    <row r="56" spans="1:12" x14ac:dyDescent="0.3">
      <c r="A56" s="13"/>
      <c r="B56" s="13"/>
      <c r="C56" s="14">
        <v>42</v>
      </c>
      <c r="D56" s="14" t="s">
        <v>101</v>
      </c>
      <c r="E56" s="191">
        <f>+E55</f>
        <v>1600</v>
      </c>
      <c r="F56" s="9">
        <f t="shared" si="5"/>
        <v>212.35649346340168</v>
      </c>
      <c r="G56" s="9"/>
      <c r="H56" s="10">
        <f>G56/'POSEBNI DIO'!$F$4</f>
        <v>0</v>
      </c>
      <c r="I56" s="36"/>
      <c r="J56" s="253">
        <f t="shared" si="6"/>
        <v>0</v>
      </c>
      <c r="K56" s="70">
        <f t="shared" si="7"/>
        <v>0</v>
      </c>
      <c r="L56" s="70">
        <f t="shared" si="8"/>
        <v>0</v>
      </c>
    </row>
    <row r="57" spans="1:12" s="265" customFormat="1" x14ac:dyDescent="0.3">
      <c r="A57" s="13"/>
      <c r="B57" s="13">
        <v>32</v>
      </c>
      <c r="C57" s="14"/>
      <c r="D57" s="14" t="s">
        <v>35</v>
      </c>
      <c r="E57" s="191">
        <v>1300</v>
      </c>
      <c r="F57" s="9"/>
      <c r="G57" s="9"/>
      <c r="H57" s="10"/>
      <c r="I57" s="36"/>
      <c r="J57" s="253"/>
      <c r="K57" s="70"/>
      <c r="L57" s="70"/>
    </row>
    <row r="58" spans="1:12" s="265" customFormat="1" x14ac:dyDescent="0.3">
      <c r="A58" s="13"/>
      <c r="B58" s="13"/>
      <c r="C58" s="14">
        <v>29</v>
      </c>
      <c r="D58" s="14" t="s">
        <v>191</v>
      </c>
      <c r="E58" s="191">
        <v>1300</v>
      </c>
      <c r="F58" s="9"/>
      <c r="G58" s="9"/>
      <c r="H58" s="10"/>
      <c r="I58" s="36"/>
      <c r="J58" s="253"/>
      <c r="K58" s="70"/>
      <c r="L58" s="70"/>
    </row>
    <row r="59" spans="1:12" x14ac:dyDescent="0.3">
      <c r="A59" s="13"/>
      <c r="B59" s="13">
        <v>32</v>
      </c>
      <c r="C59" s="14"/>
      <c r="D59" s="14" t="s">
        <v>35</v>
      </c>
      <c r="E59" s="191">
        <f>+'POSEBNI DIO'!E11+'POSEBNI DIO'!E13</f>
        <v>601510.62</v>
      </c>
      <c r="F59" s="9">
        <f t="shared" si="5"/>
        <v>79834.178777622932</v>
      </c>
      <c r="G59" s="9">
        <f>+'POSEBNI DIO'!G11</f>
        <v>478000</v>
      </c>
      <c r="H59" s="10">
        <f>G59/'POSEBNI DIO'!$F$4</f>
        <v>63441.502422191254</v>
      </c>
      <c r="I59" s="36">
        <f>+'POSEBNI DIO'!J11</f>
        <v>63788.00053089123</v>
      </c>
      <c r="J59" s="253">
        <f t="shared" si="6"/>
        <v>480610.69</v>
      </c>
      <c r="K59" s="70">
        <f t="shared" si="7"/>
        <v>63788.00053089123</v>
      </c>
      <c r="L59" s="70">
        <f t="shared" si="8"/>
        <v>63788.00053089123</v>
      </c>
    </row>
    <row r="60" spans="1:12" x14ac:dyDescent="0.3">
      <c r="A60" s="13"/>
      <c r="B60" s="13"/>
      <c r="C60" s="14">
        <v>31</v>
      </c>
      <c r="D60" s="14" t="s">
        <v>102</v>
      </c>
      <c r="E60" s="191">
        <f>+E59</f>
        <v>601510.62</v>
      </c>
      <c r="F60" s="9">
        <f t="shared" si="5"/>
        <v>79834.178777622932</v>
      </c>
      <c r="G60" s="9">
        <f>+G59</f>
        <v>478000</v>
      </c>
      <c r="H60" s="10">
        <f>G60/'POSEBNI DIO'!$F$4</f>
        <v>63441.502422191254</v>
      </c>
      <c r="I60" s="36">
        <f>+I59</f>
        <v>63788.00053089123</v>
      </c>
      <c r="J60" s="253">
        <f t="shared" si="6"/>
        <v>480610.69</v>
      </c>
      <c r="K60" s="70">
        <f t="shared" si="7"/>
        <v>63788.00053089123</v>
      </c>
      <c r="L60" s="70">
        <f t="shared" si="8"/>
        <v>63788.00053089123</v>
      </c>
    </row>
    <row r="61" spans="1:12" x14ac:dyDescent="0.3">
      <c r="A61" s="13"/>
      <c r="B61" s="13">
        <v>34</v>
      </c>
      <c r="C61" s="14"/>
      <c r="D61" s="14" t="s">
        <v>51</v>
      </c>
      <c r="E61" s="191">
        <f>+'POSEBNI DIO'!E12</f>
        <v>3800.1</v>
      </c>
      <c r="F61" s="9">
        <f t="shared" si="5"/>
        <v>504.35994425642042</v>
      </c>
      <c r="G61" s="9">
        <v>4000</v>
      </c>
      <c r="H61" s="10">
        <f>G61/'POSEBNI DIO'!$F$4</f>
        <v>530.89123365850423</v>
      </c>
      <c r="I61" s="36">
        <f>+'POSEBNI DIO'!J12</f>
        <v>450.00066361404208</v>
      </c>
      <c r="J61" s="253">
        <f t="shared" si="6"/>
        <v>3390.53</v>
      </c>
      <c r="K61" s="70">
        <f t="shared" si="7"/>
        <v>450.00066361404208</v>
      </c>
      <c r="L61" s="70">
        <f t="shared" si="8"/>
        <v>450.00066361404208</v>
      </c>
    </row>
    <row r="62" spans="1:12" x14ac:dyDescent="0.3">
      <c r="A62" s="13"/>
      <c r="B62" s="13"/>
      <c r="C62" s="14">
        <v>31</v>
      </c>
      <c r="D62" s="14" t="s">
        <v>102</v>
      </c>
      <c r="E62" s="191">
        <f>+E61</f>
        <v>3800.1</v>
      </c>
      <c r="F62" s="9">
        <f t="shared" si="5"/>
        <v>504.35994425642042</v>
      </c>
      <c r="G62" s="9">
        <v>4000</v>
      </c>
      <c r="H62" s="10">
        <f>G62/'POSEBNI DIO'!$F$4</f>
        <v>530.89123365850423</v>
      </c>
      <c r="I62" s="36">
        <f>+I61</f>
        <v>450.00066361404208</v>
      </c>
      <c r="J62" s="253">
        <f t="shared" si="6"/>
        <v>3390.53</v>
      </c>
      <c r="K62" s="70">
        <f t="shared" si="7"/>
        <v>450.00066361404208</v>
      </c>
      <c r="L62" s="70">
        <f t="shared" si="8"/>
        <v>450.00066361404208</v>
      </c>
    </row>
    <row r="63" spans="1:12" x14ac:dyDescent="0.3">
      <c r="A63" s="13"/>
      <c r="B63" s="13">
        <v>32</v>
      </c>
      <c r="C63" s="14"/>
      <c r="D63" s="14" t="s">
        <v>35</v>
      </c>
      <c r="E63" s="45">
        <v>0</v>
      </c>
      <c r="F63" s="9">
        <f t="shared" si="5"/>
        <v>0</v>
      </c>
      <c r="G63" s="9">
        <v>16170</v>
      </c>
      <c r="H63" s="10">
        <f>G63/'POSEBNI DIO'!$F$4</f>
        <v>2146.1278120645034</v>
      </c>
      <c r="I63" s="36">
        <f>+'POSEBNI DIO'!J25</f>
        <v>2060</v>
      </c>
      <c r="J63" s="253">
        <f t="shared" si="6"/>
        <v>15521.070000000002</v>
      </c>
      <c r="K63" s="70">
        <f t="shared" si="7"/>
        <v>2060</v>
      </c>
      <c r="L63" s="70">
        <f t="shared" si="8"/>
        <v>2060</v>
      </c>
    </row>
    <row r="64" spans="1:12" x14ac:dyDescent="0.3">
      <c r="A64" s="13"/>
      <c r="B64" s="13"/>
      <c r="C64" s="14">
        <v>25</v>
      </c>
      <c r="D64" s="14" t="s">
        <v>103</v>
      </c>
      <c r="E64" s="45">
        <v>0</v>
      </c>
      <c r="F64" s="9">
        <f t="shared" si="5"/>
        <v>0</v>
      </c>
      <c r="G64" s="9">
        <f>+G63</f>
        <v>16170</v>
      </c>
      <c r="H64" s="10">
        <f>G64/'POSEBNI DIO'!$F$4</f>
        <v>2146.1278120645034</v>
      </c>
      <c r="I64" s="70">
        <f>+I63</f>
        <v>2060</v>
      </c>
      <c r="J64" s="253">
        <f t="shared" si="6"/>
        <v>15521.070000000002</v>
      </c>
      <c r="K64" s="70">
        <f t="shared" si="7"/>
        <v>2060</v>
      </c>
      <c r="L64" s="70">
        <f t="shared" si="8"/>
        <v>2060</v>
      </c>
    </row>
    <row r="65" spans="1:12" x14ac:dyDescent="0.3">
      <c r="A65" s="13"/>
      <c r="B65" s="13">
        <v>31</v>
      </c>
      <c r="C65" s="14"/>
      <c r="D65" s="14" t="s">
        <v>25</v>
      </c>
      <c r="E65" s="45">
        <v>0</v>
      </c>
      <c r="F65" s="9">
        <f t="shared" si="5"/>
        <v>0</v>
      </c>
      <c r="G65" s="9">
        <f>+'POSEBNI DIO'!G32</f>
        <v>130000</v>
      </c>
      <c r="H65" s="10">
        <f>G65/'POSEBNI DIO'!$F$4</f>
        <v>17253.965093901385</v>
      </c>
      <c r="I65" s="70">
        <v>0</v>
      </c>
      <c r="J65" s="253">
        <f t="shared" si="6"/>
        <v>0</v>
      </c>
      <c r="K65" s="70">
        <f t="shared" si="7"/>
        <v>0</v>
      </c>
      <c r="L65" s="70">
        <f t="shared" si="8"/>
        <v>0</v>
      </c>
    </row>
    <row r="66" spans="1:12" x14ac:dyDescent="0.3">
      <c r="A66" s="13"/>
      <c r="B66" s="13"/>
      <c r="C66" s="14">
        <v>55</v>
      </c>
      <c r="D66" s="14" t="s">
        <v>105</v>
      </c>
      <c r="E66" s="45"/>
      <c r="F66" s="9">
        <f t="shared" si="5"/>
        <v>0</v>
      </c>
      <c r="G66" s="9">
        <f>+G65</f>
        <v>130000</v>
      </c>
      <c r="H66" s="10">
        <f>G66/'POSEBNI DIO'!$F$4</f>
        <v>17253.965093901385</v>
      </c>
      <c r="I66" s="70">
        <v>0</v>
      </c>
      <c r="J66" s="253">
        <f t="shared" si="6"/>
        <v>0</v>
      </c>
      <c r="K66" s="70">
        <f t="shared" si="7"/>
        <v>0</v>
      </c>
      <c r="L66" s="70">
        <f t="shared" si="8"/>
        <v>0</v>
      </c>
    </row>
    <row r="67" spans="1:12" x14ac:dyDescent="0.3">
      <c r="A67" s="13"/>
      <c r="B67" s="13">
        <v>32</v>
      </c>
      <c r="C67" s="14"/>
      <c r="D67" s="14" t="s">
        <v>35</v>
      </c>
      <c r="E67" s="281">
        <v>10127</v>
      </c>
      <c r="F67" s="9">
        <f t="shared" si="5"/>
        <v>1344.0838808149181</v>
      </c>
      <c r="G67" s="9">
        <f>+'POSEBNI DIO'!G33</f>
        <v>15000</v>
      </c>
      <c r="H67" s="10">
        <f>G67/'POSEBNI DIO'!$F$4</f>
        <v>1990.8421262193906</v>
      </c>
      <c r="I67" s="70">
        <v>0</v>
      </c>
      <c r="J67" s="253">
        <f t="shared" si="6"/>
        <v>0</v>
      </c>
      <c r="K67" s="70">
        <f t="shared" si="7"/>
        <v>0</v>
      </c>
      <c r="L67" s="70">
        <f t="shared" si="8"/>
        <v>0</v>
      </c>
    </row>
    <row r="68" spans="1:12" x14ac:dyDescent="0.3">
      <c r="A68" s="13"/>
      <c r="B68" s="13"/>
      <c r="C68" s="14">
        <v>55</v>
      </c>
      <c r="D68" s="14" t="s">
        <v>105</v>
      </c>
      <c r="E68" s="281">
        <v>10127</v>
      </c>
      <c r="F68" s="9">
        <f t="shared" si="5"/>
        <v>1344.0838808149181</v>
      </c>
      <c r="G68" s="9">
        <f>+G67</f>
        <v>15000</v>
      </c>
      <c r="H68" s="10">
        <f>G68/'POSEBNI DIO'!$F$4</f>
        <v>1990.8421262193906</v>
      </c>
      <c r="I68" s="70">
        <v>0</v>
      </c>
      <c r="J68" s="253">
        <f t="shared" si="6"/>
        <v>0</v>
      </c>
      <c r="K68" s="70">
        <f t="shared" si="7"/>
        <v>0</v>
      </c>
      <c r="L68" s="70">
        <f t="shared" si="8"/>
        <v>0</v>
      </c>
    </row>
    <row r="69" spans="1:12" x14ac:dyDescent="0.3">
      <c r="A69" s="13"/>
      <c r="B69" s="13">
        <v>34</v>
      </c>
      <c r="C69" s="14"/>
      <c r="D69" s="14" t="s">
        <v>51</v>
      </c>
      <c r="E69" s="45">
        <v>0</v>
      </c>
      <c r="F69" s="9">
        <f t="shared" si="5"/>
        <v>0</v>
      </c>
      <c r="G69" s="9">
        <f>+'POSEBNI DIO'!G34</f>
        <v>12000</v>
      </c>
      <c r="H69" s="10">
        <f>G69/'POSEBNI DIO'!$F$4</f>
        <v>1592.6737009755125</v>
      </c>
      <c r="I69" s="70">
        <v>0</v>
      </c>
      <c r="J69" s="253">
        <f t="shared" si="6"/>
        <v>0</v>
      </c>
      <c r="K69" s="70">
        <f t="shared" si="7"/>
        <v>0</v>
      </c>
      <c r="L69" s="70">
        <f t="shared" si="8"/>
        <v>0</v>
      </c>
    </row>
    <row r="70" spans="1:12" x14ac:dyDescent="0.3">
      <c r="A70" s="13"/>
      <c r="B70" s="13"/>
      <c r="C70" s="14">
        <v>55</v>
      </c>
      <c r="D70" s="14" t="s">
        <v>105</v>
      </c>
      <c r="E70" s="45">
        <v>0</v>
      </c>
      <c r="F70" s="9">
        <f t="shared" si="5"/>
        <v>0</v>
      </c>
      <c r="G70" s="9">
        <f>+G69</f>
        <v>12000</v>
      </c>
      <c r="H70" s="10">
        <f>G70/'POSEBNI DIO'!$F$4</f>
        <v>1592.6737009755125</v>
      </c>
      <c r="I70" s="70">
        <v>0</v>
      </c>
      <c r="J70" s="253">
        <f t="shared" si="6"/>
        <v>0</v>
      </c>
      <c r="K70" s="70">
        <f t="shared" si="7"/>
        <v>0</v>
      </c>
      <c r="L70" s="70">
        <f t="shared" si="8"/>
        <v>0</v>
      </c>
    </row>
    <row r="71" spans="1:12" x14ac:dyDescent="0.3">
      <c r="A71" s="13"/>
      <c r="B71" s="13">
        <v>37</v>
      </c>
      <c r="C71" s="14"/>
      <c r="D71" s="14" t="s">
        <v>104</v>
      </c>
      <c r="E71" s="191">
        <v>103589</v>
      </c>
      <c r="F71" s="9">
        <f t="shared" si="5"/>
        <v>13748.623000862697</v>
      </c>
      <c r="G71" s="9">
        <v>133500</v>
      </c>
      <c r="H71" s="10">
        <f>G71/'POSEBNI DIO'!$F$4</f>
        <v>17718.494923352577</v>
      </c>
      <c r="I71" s="70">
        <f>+'POSEBNI DIO'!J44</f>
        <v>18000</v>
      </c>
      <c r="J71" s="253">
        <f t="shared" si="6"/>
        <v>135621</v>
      </c>
      <c r="K71" s="70">
        <f t="shared" si="7"/>
        <v>18000</v>
      </c>
      <c r="L71" s="70">
        <f t="shared" si="8"/>
        <v>18000</v>
      </c>
    </row>
    <row r="72" spans="1:12" x14ac:dyDescent="0.3">
      <c r="A72" s="13"/>
      <c r="B72" s="30"/>
      <c r="C72" s="14">
        <v>55</v>
      </c>
      <c r="D72" s="14" t="s">
        <v>105</v>
      </c>
      <c r="E72" s="191">
        <v>103589</v>
      </c>
      <c r="F72" s="9">
        <f t="shared" si="5"/>
        <v>13748.623000862697</v>
      </c>
      <c r="G72" s="9">
        <f>+G71</f>
        <v>133500</v>
      </c>
      <c r="H72" s="10">
        <f>G72/'POSEBNI DIO'!$F$4</f>
        <v>17718.494923352577</v>
      </c>
      <c r="I72" s="70">
        <f>+I71</f>
        <v>18000</v>
      </c>
      <c r="J72" s="253">
        <f t="shared" si="6"/>
        <v>135621</v>
      </c>
      <c r="K72" s="70">
        <f t="shared" si="7"/>
        <v>18000</v>
      </c>
      <c r="L72" s="70">
        <f t="shared" si="8"/>
        <v>18000</v>
      </c>
    </row>
    <row r="73" spans="1:12" ht="26.4" x14ac:dyDescent="0.3">
      <c r="A73" s="15">
        <v>4</v>
      </c>
      <c r="B73" s="16"/>
      <c r="C73" s="16"/>
      <c r="D73" s="28" t="s">
        <v>26</v>
      </c>
      <c r="E73" s="192">
        <f>+E74+E76</f>
        <v>186547.99</v>
      </c>
      <c r="F73" s="9">
        <f>+E73/$E$6</f>
        <v>24759.173136903573</v>
      </c>
      <c r="G73" s="9">
        <f>+G74+G76+G78</f>
        <v>660500</v>
      </c>
      <c r="H73" s="10">
        <f>G73/'POSEBNI DIO'!$F$4</f>
        <v>87663.414957860499</v>
      </c>
      <c r="I73" s="70">
        <f>+I74+I76</f>
        <v>24970</v>
      </c>
      <c r="J73" s="253">
        <f t="shared" si="6"/>
        <v>188136.465</v>
      </c>
      <c r="K73" s="70">
        <f t="shared" si="7"/>
        <v>24969.999999999996</v>
      </c>
      <c r="L73" s="70">
        <f t="shared" si="8"/>
        <v>24969.999999999996</v>
      </c>
    </row>
    <row r="74" spans="1:12" ht="39.6" x14ac:dyDescent="0.3">
      <c r="A74" s="17"/>
      <c r="B74" s="17">
        <v>41</v>
      </c>
      <c r="C74" s="17"/>
      <c r="D74" s="29" t="s">
        <v>27</v>
      </c>
      <c r="E74" s="260">
        <f>+'POSEBNI DIO'!E78</f>
        <v>44783.42</v>
      </c>
      <c r="F74" s="9">
        <f t="shared" si="5"/>
        <v>5943.7812728117324</v>
      </c>
      <c r="G74" s="9">
        <v>45000</v>
      </c>
      <c r="H74" s="10">
        <f>G74/'POSEBNI DIO'!$F$4</f>
        <v>5972.5263786581718</v>
      </c>
      <c r="I74" s="70">
        <f>+'POSEBNI DIO'!J77</f>
        <v>5970</v>
      </c>
      <c r="J74" s="253">
        <f t="shared" si="6"/>
        <v>44980.965000000004</v>
      </c>
      <c r="K74" s="70">
        <f t="shared" si="7"/>
        <v>5970</v>
      </c>
      <c r="L74" s="70">
        <f t="shared" si="8"/>
        <v>5970</v>
      </c>
    </row>
    <row r="75" spans="1:12" x14ac:dyDescent="0.3">
      <c r="A75" s="17"/>
      <c r="B75" s="17"/>
      <c r="C75" s="14">
        <v>31</v>
      </c>
      <c r="D75" s="14" t="s">
        <v>20</v>
      </c>
      <c r="E75" s="191">
        <f>+E74</f>
        <v>44783.42</v>
      </c>
      <c r="F75" s="9">
        <f t="shared" si="5"/>
        <v>5943.7812728117324</v>
      </c>
      <c r="G75" s="9">
        <f>+G74</f>
        <v>45000</v>
      </c>
      <c r="H75" s="10">
        <f>G75/'POSEBNI DIO'!$F$4</f>
        <v>5972.5263786581718</v>
      </c>
      <c r="I75" s="70">
        <f>+I74</f>
        <v>5970</v>
      </c>
      <c r="J75" s="253">
        <f t="shared" si="6"/>
        <v>44980.965000000004</v>
      </c>
      <c r="K75" s="70">
        <f t="shared" si="7"/>
        <v>5970</v>
      </c>
      <c r="L75" s="70">
        <f t="shared" si="8"/>
        <v>5970</v>
      </c>
    </row>
    <row r="76" spans="1:12" ht="26.4" x14ac:dyDescent="0.3">
      <c r="A76" s="17"/>
      <c r="B76" s="17">
        <v>42</v>
      </c>
      <c r="C76" s="14"/>
      <c r="D76" s="18" t="s">
        <v>106</v>
      </c>
      <c r="E76" s="191">
        <f>+'POSEBNI DIO'!E68</f>
        <v>141764.57</v>
      </c>
      <c r="F76" s="9">
        <f t="shared" si="5"/>
        <v>18815.391864091845</v>
      </c>
      <c r="G76" s="9">
        <v>148000</v>
      </c>
      <c r="H76" s="10">
        <f>G76/'POSEBNI DIO'!$F$4</f>
        <v>19642.975645364655</v>
      </c>
      <c r="I76" s="70">
        <f>+'POSEBNI DIO'!J68</f>
        <v>19000</v>
      </c>
      <c r="J76" s="253">
        <f t="shared" si="6"/>
        <v>143155.5</v>
      </c>
      <c r="K76" s="70">
        <f t="shared" si="7"/>
        <v>19000</v>
      </c>
      <c r="L76" s="70">
        <f t="shared" si="8"/>
        <v>19000</v>
      </c>
    </row>
    <row r="77" spans="1:12" x14ac:dyDescent="0.3">
      <c r="A77" s="17"/>
      <c r="B77" s="17"/>
      <c r="C77" s="14">
        <v>55</v>
      </c>
      <c r="D77" s="18" t="s">
        <v>105</v>
      </c>
      <c r="E77" s="191">
        <f>+E76</f>
        <v>141764.57</v>
      </c>
      <c r="F77" s="9">
        <f t="shared" si="5"/>
        <v>18815.391864091845</v>
      </c>
      <c r="G77" s="9">
        <f>+G76</f>
        <v>148000</v>
      </c>
      <c r="H77" s="10">
        <f>G77/'POSEBNI DIO'!$F$4</f>
        <v>19642.975645364655</v>
      </c>
      <c r="I77" s="70">
        <f>+I76</f>
        <v>19000</v>
      </c>
      <c r="J77" s="253">
        <f t="shared" si="6"/>
        <v>143155.5</v>
      </c>
      <c r="K77" s="70">
        <f t="shared" si="7"/>
        <v>19000</v>
      </c>
      <c r="L77" s="70">
        <f t="shared" si="8"/>
        <v>19000</v>
      </c>
    </row>
    <row r="78" spans="1:12" ht="39.6" x14ac:dyDescent="0.3">
      <c r="A78" s="17"/>
      <c r="B78" s="17">
        <v>45</v>
      </c>
      <c r="C78" s="14"/>
      <c r="D78" s="18" t="s">
        <v>110</v>
      </c>
      <c r="E78" s="14">
        <v>0</v>
      </c>
      <c r="F78" s="9">
        <f t="shared" si="5"/>
        <v>0</v>
      </c>
      <c r="G78" s="10">
        <v>467500</v>
      </c>
      <c r="H78" s="10">
        <f>G78/'POSEBNI DIO'!$F$4</f>
        <v>62047.912933837673</v>
      </c>
      <c r="I78" s="70">
        <v>0</v>
      </c>
      <c r="J78" s="253">
        <f t="shared" si="6"/>
        <v>0</v>
      </c>
      <c r="K78" s="70">
        <f t="shared" si="7"/>
        <v>0</v>
      </c>
      <c r="L78" s="70">
        <f t="shared" si="8"/>
        <v>0</v>
      </c>
    </row>
    <row r="79" spans="1:12" x14ac:dyDescent="0.3">
      <c r="A79" s="53"/>
      <c r="B79" s="53"/>
      <c r="C79" s="53">
        <v>55</v>
      </c>
      <c r="D79" s="53" t="s">
        <v>105</v>
      </c>
      <c r="E79" s="263">
        <v>0</v>
      </c>
      <c r="F79" s="9">
        <f t="shared" si="5"/>
        <v>0</v>
      </c>
      <c r="G79" s="75">
        <f>+G78</f>
        <v>467500</v>
      </c>
      <c r="H79" s="10">
        <f>G79/'POSEBNI DIO'!$F$4</f>
        <v>62047.912933837673</v>
      </c>
      <c r="I79" s="249">
        <v>0</v>
      </c>
      <c r="J79" s="253">
        <f t="shared" si="6"/>
        <v>0</v>
      </c>
      <c r="K79" s="70">
        <f t="shared" si="7"/>
        <v>0</v>
      </c>
      <c r="L79" s="70">
        <f t="shared" si="8"/>
        <v>0</v>
      </c>
    </row>
    <row r="80" spans="1:12" x14ac:dyDescent="0.3">
      <c r="D80" s="266">
        <f>+E73+E40</f>
        <v>7429449.9399999995</v>
      </c>
      <c r="I80" s="124">
        <v>987816</v>
      </c>
    </row>
    <row r="81" spans="7:9" x14ac:dyDescent="0.3">
      <c r="G81" s="146">
        <f>+G73+G40</f>
        <v>7918170</v>
      </c>
    </row>
    <row r="82" spans="7:9" x14ac:dyDescent="0.3">
      <c r="I82" s="250"/>
    </row>
  </sheetData>
  <mergeCells count="5">
    <mergeCell ref="A7:L7"/>
    <mergeCell ref="A37:L37"/>
    <mergeCell ref="A1:L1"/>
    <mergeCell ref="A3:L3"/>
    <mergeCell ref="A5:L5"/>
  </mergeCells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FF2E0-4509-441A-A0CA-28018FA6651D}">
  <dimension ref="C5:J56"/>
  <sheetViews>
    <sheetView topLeftCell="A31" workbookViewId="0">
      <selection activeCell="G47" sqref="G47"/>
    </sheetView>
  </sheetViews>
  <sheetFormatPr defaultRowHeight="14.4" x14ac:dyDescent="0.3"/>
  <cols>
    <col min="5" max="5" width="28.6640625" customWidth="1"/>
    <col min="6" max="6" width="21.88671875" customWidth="1"/>
    <col min="7" max="7" width="19.6640625" customWidth="1"/>
    <col min="8" max="8" width="17.33203125" customWidth="1"/>
    <col min="9" max="9" width="17.21875" customWidth="1"/>
    <col min="10" max="10" width="22.33203125" customWidth="1"/>
  </cols>
  <sheetData>
    <row r="5" spans="3:10" x14ac:dyDescent="0.3">
      <c r="C5" s="196"/>
      <c r="D5" s="196"/>
      <c r="E5" s="196"/>
      <c r="F5" s="196"/>
      <c r="G5" s="196"/>
      <c r="H5" s="196"/>
      <c r="I5" s="223"/>
      <c r="J5" s="224"/>
    </row>
    <row r="6" spans="3:10" ht="28.8" x14ac:dyDescent="0.3">
      <c r="C6" s="203" t="s">
        <v>149</v>
      </c>
      <c r="D6" s="203" t="s">
        <v>150</v>
      </c>
      <c r="E6" s="203" t="s">
        <v>151</v>
      </c>
      <c r="F6" s="226" t="s">
        <v>13</v>
      </c>
      <c r="G6" s="227" t="s">
        <v>152</v>
      </c>
      <c r="H6" s="227" t="s">
        <v>153</v>
      </c>
      <c r="I6" s="228" t="s">
        <v>154</v>
      </c>
      <c r="J6" s="229" t="s">
        <v>153</v>
      </c>
    </row>
    <row r="7" spans="3:10" x14ac:dyDescent="0.3">
      <c r="C7" s="205"/>
      <c r="D7" s="205"/>
      <c r="E7" s="201" t="s">
        <v>155</v>
      </c>
      <c r="F7" s="210">
        <v>10000</v>
      </c>
      <c r="G7" s="210">
        <v>6000</v>
      </c>
      <c r="H7" s="210">
        <v>16000</v>
      </c>
      <c r="I7" s="206"/>
      <c r="J7" s="225">
        <v>16000</v>
      </c>
    </row>
    <row r="8" spans="3:10" x14ac:dyDescent="0.3">
      <c r="C8" s="200" t="s">
        <v>156</v>
      </c>
      <c r="D8" s="200" t="s">
        <v>157</v>
      </c>
      <c r="E8" s="200" t="s">
        <v>158</v>
      </c>
      <c r="F8" s="211">
        <v>10000</v>
      </c>
      <c r="G8" s="212">
        <v>6000</v>
      </c>
      <c r="H8" s="212">
        <v>16000</v>
      </c>
      <c r="I8" s="196"/>
      <c r="J8" s="225">
        <v>16000</v>
      </c>
    </row>
    <row r="9" spans="3:10" x14ac:dyDescent="0.3">
      <c r="C9" s="201"/>
      <c r="D9" s="201"/>
      <c r="E9" s="201" t="s">
        <v>111</v>
      </c>
      <c r="F9" s="213">
        <v>5420200</v>
      </c>
      <c r="G9" s="214">
        <v>100000</v>
      </c>
      <c r="H9" s="214">
        <v>5520200</v>
      </c>
      <c r="I9" s="209"/>
      <c r="J9" s="225">
        <v>5520200</v>
      </c>
    </row>
    <row r="10" spans="3:10" x14ac:dyDescent="0.3">
      <c r="C10" s="200" t="s">
        <v>159</v>
      </c>
      <c r="D10" s="200" t="s">
        <v>160</v>
      </c>
      <c r="E10" s="200" t="s">
        <v>161</v>
      </c>
      <c r="F10" s="212">
        <v>5420200</v>
      </c>
      <c r="G10" s="212">
        <v>100000</v>
      </c>
      <c r="H10" s="212">
        <v>5520200</v>
      </c>
      <c r="I10" s="221"/>
      <c r="J10" s="225">
        <v>5520200</v>
      </c>
    </row>
    <row r="11" spans="3:10" x14ac:dyDescent="0.3">
      <c r="C11" s="201"/>
      <c r="D11" s="201"/>
      <c r="E11" s="201" t="s">
        <v>162</v>
      </c>
      <c r="F11" s="213">
        <v>282000</v>
      </c>
      <c r="G11" s="214">
        <v>157000</v>
      </c>
      <c r="H11" s="214">
        <v>439000</v>
      </c>
      <c r="I11" s="198">
        <v>-31500</v>
      </c>
      <c r="J11" s="225">
        <v>407500</v>
      </c>
    </row>
    <row r="12" spans="3:10" x14ac:dyDescent="0.3">
      <c r="C12" s="200" t="s">
        <v>163</v>
      </c>
      <c r="D12" s="200" t="s">
        <v>164</v>
      </c>
      <c r="E12" s="200" t="s">
        <v>165</v>
      </c>
      <c r="F12" s="211">
        <v>148000</v>
      </c>
      <c r="G12" s="211"/>
      <c r="H12" s="212">
        <v>148000</v>
      </c>
      <c r="I12" s="196"/>
      <c r="J12" s="225">
        <v>148000</v>
      </c>
    </row>
    <row r="13" spans="3:10" x14ac:dyDescent="0.3">
      <c r="C13" s="208">
        <v>55</v>
      </c>
      <c r="D13" s="208">
        <v>63612</v>
      </c>
      <c r="E13" s="202" t="s">
        <v>161</v>
      </c>
      <c r="F13" s="211"/>
      <c r="G13" s="211">
        <v>157000</v>
      </c>
      <c r="H13" s="212">
        <v>157000</v>
      </c>
      <c r="I13" s="197">
        <v>-36000</v>
      </c>
      <c r="J13" s="225">
        <v>121000</v>
      </c>
    </row>
    <row r="14" spans="3:10" x14ac:dyDescent="0.3">
      <c r="C14" s="216">
        <v>55</v>
      </c>
      <c r="D14" s="208">
        <v>63613</v>
      </c>
      <c r="E14" s="202" t="s">
        <v>166</v>
      </c>
      <c r="F14" s="211"/>
      <c r="G14" s="211"/>
      <c r="H14" s="212">
        <v>0</v>
      </c>
      <c r="I14" s="197">
        <v>500</v>
      </c>
      <c r="J14" s="225">
        <v>500</v>
      </c>
    </row>
    <row r="15" spans="3:10" x14ac:dyDescent="0.3">
      <c r="C15" s="233">
        <v>25</v>
      </c>
      <c r="D15" s="200" t="s">
        <v>167</v>
      </c>
      <c r="E15" s="200" t="s">
        <v>168</v>
      </c>
      <c r="F15" s="211">
        <v>100</v>
      </c>
      <c r="G15" s="211"/>
      <c r="H15" s="212">
        <v>100</v>
      </c>
      <c r="I15" s="197"/>
      <c r="J15" s="225">
        <v>100</v>
      </c>
    </row>
    <row r="16" spans="3:10" x14ac:dyDescent="0.3">
      <c r="C16" s="200" t="s">
        <v>163</v>
      </c>
      <c r="D16" s="200" t="s">
        <v>169</v>
      </c>
      <c r="E16" s="200" t="s">
        <v>170</v>
      </c>
      <c r="F16" s="211">
        <v>133500</v>
      </c>
      <c r="G16" s="211"/>
      <c r="H16" s="212">
        <v>133500</v>
      </c>
      <c r="I16" s="197">
        <v>4000</v>
      </c>
      <c r="J16" s="225">
        <v>137500</v>
      </c>
    </row>
    <row r="17" spans="3:10" x14ac:dyDescent="0.3">
      <c r="C17" s="208">
        <v>55</v>
      </c>
      <c r="D17" s="208">
        <v>65267</v>
      </c>
      <c r="E17" s="200" t="s">
        <v>171</v>
      </c>
      <c r="F17" s="215"/>
      <c r="G17" s="215"/>
      <c r="H17" s="212">
        <v>0</v>
      </c>
      <c r="I17" s="196"/>
      <c r="J17" s="225">
        <v>0</v>
      </c>
    </row>
    <row r="18" spans="3:10" x14ac:dyDescent="0.3">
      <c r="C18" s="231">
        <v>55</v>
      </c>
      <c r="D18" s="231">
        <v>66322</v>
      </c>
      <c r="E18" s="232" t="s">
        <v>172</v>
      </c>
      <c r="F18" s="220"/>
      <c r="G18" s="220">
        <v>467500</v>
      </c>
      <c r="H18" s="219">
        <v>467500</v>
      </c>
      <c r="I18" s="206"/>
      <c r="J18" s="225">
        <v>467500</v>
      </c>
    </row>
    <row r="19" spans="3:10" x14ac:dyDescent="0.3">
      <c r="C19" s="233">
        <v>25</v>
      </c>
      <c r="D19" s="200" t="s">
        <v>173</v>
      </c>
      <c r="E19" s="200" t="s">
        <v>174</v>
      </c>
      <c r="F19" s="211">
        <v>400</v>
      </c>
      <c r="G19" s="211"/>
      <c r="H19" s="212">
        <v>400</v>
      </c>
      <c r="I19" s="196"/>
      <c r="J19" s="225">
        <v>400</v>
      </c>
    </row>
    <row r="20" spans="3:10" x14ac:dyDescent="0.3">
      <c r="C20" s="208">
        <v>29</v>
      </c>
      <c r="D20" s="216">
        <v>92221</v>
      </c>
      <c r="E20" s="201" t="s">
        <v>175</v>
      </c>
      <c r="F20" s="215"/>
      <c r="G20" s="218">
        <v>-330</v>
      </c>
      <c r="H20" s="217">
        <v>-330</v>
      </c>
      <c r="I20" s="196"/>
      <c r="J20" s="225">
        <v>-330</v>
      </c>
    </row>
    <row r="21" spans="3:10" x14ac:dyDescent="0.3">
      <c r="C21" s="204"/>
      <c r="D21" s="204"/>
      <c r="E21" s="204"/>
      <c r="F21" s="196"/>
      <c r="G21" s="215"/>
      <c r="H21" s="215"/>
      <c r="I21" s="196"/>
      <c r="J21" s="225">
        <v>0</v>
      </c>
    </row>
    <row r="22" spans="3:10" x14ac:dyDescent="0.3">
      <c r="C22" s="196"/>
      <c r="D22" s="196"/>
      <c r="E22" s="196"/>
      <c r="F22" s="215"/>
      <c r="G22" s="215"/>
      <c r="H22" s="215"/>
      <c r="I22" s="196"/>
      <c r="J22" s="225">
        <v>0</v>
      </c>
    </row>
    <row r="23" spans="3:10" x14ac:dyDescent="0.3">
      <c r="C23" s="196"/>
      <c r="D23" s="196"/>
      <c r="E23" s="207" t="s">
        <v>176</v>
      </c>
      <c r="F23" s="222">
        <v>5712200</v>
      </c>
      <c r="G23" s="222">
        <v>730170</v>
      </c>
      <c r="H23" s="222">
        <v>6442370</v>
      </c>
      <c r="I23" s="199">
        <v>-31500</v>
      </c>
      <c r="J23" s="230">
        <v>6410870</v>
      </c>
    </row>
    <row r="29" spans="3:10" ht="28.8" x14ac:dyDescent="0.3">
      <c r="D29" s="235"/>
      <c r="E29" s="235"/>
      <c r="F29" s="235"/>
      <c r="G29" s="243" t="s">
        <v>177</v>
      </c>
      <c r="H29" s="244" t="s">
        <v>178</v>
      </c>
      <c r="I29" s="245" t="s">
        <v>153</v>
      </c>
    </row>
    <row r="30" spans="3:10" x14ac:dyDescent="0.3">
      <c r="D30" s="237" t="s">
        <v>89</v>
      </c>
      <c r="E30" s="236">
        <v>586400</v>
      </c>
      <c r="F30" s="241">
        <v>103900</v>
      </c>
      <c r="G30" s="239">
        <v>762300</v>
      </c>
      <c r="H30" s="239">
        <v>50000</v>
      </c>
      <c r="I30" s="239">
        <v>812300</v>
      </c>
    </row>
    <row r="31" spans="3:10" x14ac:dyDescent="0.3">
      <c r="D31" s="237" t="s">
        <v>86</v>
      </c>
      <c r="E31" s="236">
        <v>527000</v>
      </c>
      <c r="F31" s="236">
        <v>0</v>
      </c>
      <c r="G31" s="239">
        <v>527000</v>
      </c>
      <c r="H31" s="239">
        <v>0</v>
      </c>
      <c r="I31" s="239">
        <v>527000</v>
      </c>
    </row>
    <row r="32" spans="3:10" x14ac:dyDescent="0.3">
      <c r="D32" s="237" t="s">
        <v>93</v>
      </c>
      <c r="E32" s="236">
        <v>0</v>
      </c>
      <c r="F32" s="236">
        <v>0</v>
      </c>
      <c r="G32" s="239">
        <v>0</v>
      </c>
      <c r="H32" s="239">
        <v>0</v>
      </c>
      <c r="I32" s="239">
        <v>0</v>
      </c>
    </row>
    <row r="33" spans="3:10" x14ac:dyDescent="0.3">
      <c r="D33" s="237" t="s">
        <v>91</v>
      </c>
      <c r="E33" s="236">
        <v>184800</v>
      </c>
      <c r="F33" s="240">
        <v>2700</v>
      </c>
      <c r="G33" s="239">
        <v>186500</v>
      </c>
      <c r="H33" s="239">
        <v>-21000</v>
      </c>
      <c r="I33" s="239">
        <v>165500</v>
      </c>
    </row>
    <row r="34" spans="3:10" x14ac:dyDescent="0.3">
      <c r="D34" s="235"/>
      <c r="E34" s="238">
        <v>1298200</v>
      </c>
      <c r="F34" s="236">
        <v>106600</v>
      </c>
      <c r="G34" s="242">
        <v>1404800</v>
      </c>
      <c r="H34" s="242">
        <v>29000</v>
      </c>
      <c r="I34" s="242">
        <v>1433800</v>
      </c>
    </row>
    <row r="35" spans="3:10" x14ac:dyDescent="0.3">
      <c r="D35" s="235"/>
      <c r="E35" s="236">
        <v>0</v>
      </c>
      <c r="F35" s="235"/>
      <c r="G35" s="235"/>
      <c r="H35" s="235"/>
      <c r="I35" s="235"/>
    </row>
    <row r="38" spans="3:10" x14ac:dyDescent="0.3">
      <c r="G38" t="s">
        <v>52</v>
      </c>
      <c r="H38" t="s">
        <v>53</v>
      </c>
      <c r="I38" t="s">
        <v>180</v>
      </c>
      <c r="J38" t="s">
        <v>180</v>
      </c>
    </row>
    <row r="39" spans="3:10" x14ac:dyDescent="0.3">
      <c r="C39" t="s">
        <v>149</v>
      </c>
      <c r="D39" t="s">
        <v>150</v>
      </c>
      <c r="E39" t="s">
        <v>151</v>
      </c>
      <c r="G39" s="152" t="s">
        <v>181</v>
      </c>
      <c r="H39" s="152"/>
      <c r="I39" s="152" t="s">
        <v>182</v>
      </c>
      <c r="J39" s="152" t="s">
        <v>183</v>
      </c>
    </row>
    <row r="40" spans="3:10" x14ac:dyDescent="0.3">
      <c r="C40" s="246"/>
      <c r="D40" s="246"/>
      <c r="E40" s="246" t="s">
        <v>155</v>
      </c>
      <c r="F40" s="246"/>
      <c r="G40" s="247">
        <v>2060</v>
      </c>
      <c r="H40" s="247">
        <v>15521.070000000002</v>
      </c>
      <c r="I40" s="247">
        <v>15521.070000000002</v>
      </c>
      <c r="J40" s="247">
        <v>15521.070000000002</v>
      </c>
    </row>
    <row r="41" spans="3:10" x14ac:dyDescent="0.3">
      <c r="C41" s="246">
        <v>25</v>
      </c>
      <c r="D41" s="246">
        <v>64132</v>
      </c>
      <c r="E41" s="246" t="s">
        <v>168</v>
      </c>
      <c r="F41" s="246"/>
      <c r="G41" s="247">
        <v>10</v>
      </c>
      <c r="H41" s="247">
        <v>75.344999999999999</v>
      </c>
      <c r="I41" s="247">
        <v>10</v>
      </c>
      <c r="J41" s="247">
        <v>10</v>
      </c>
    </row>
    <row r="42" spans="3:10" x14ac:dyDescent="0.3">
      <c r="C42" s="246" t="s">
        <v>156</v>
      </c>
      <c r="D42" s="246" t="s">
        <v>157</v>
      </c>
      <c r="E42" s="246" t="s">
        <v>158</v>
      </c>
      <c r="F42" s="246"/>
      <c r="G42" s="247">
        <v>2000</v>
      </c>
      <c r="H42" s="247">
        <v>15069</v>
      </c>
      <c r="I42" s="247">
        <v>2000</v>
      </c>
      <c r="J42" s="247">
        <v>2000</v>
      </c>
    </row>
    <row r="43" spans="3:10" x14ac:dyDescent="0.3">
      <c r="C43" s="246">
        <v>25</v>
      </c>
      <c r="D43" s="246">
        <v>72119</v>
      </c>
      <c r="E43" s="246" t="s">
        <v>174</v>
      </c>
      <c r="F43" s="246"/>
      <c r="G43" s="247">
        <v>50</v>
      </c>
      <c r="H43" s="247">
        <v>376.72500000000002</v>
      </c>
      <c r="I43" s="247">
        <v>50</v>
      </c>
      <c r="J43" s="247">
        <v>50</v>
      </c>
    </row>
    <row r="44" spans="3:10" x14ac:dyDescent="0.3">
      <c r="C44" s="246"/>
      <c r="D44" s="246"/>
      <c r="E44" s="246" t="s">
        <v>111</v>
      </c>
      <c r="F44" s="246"/>
      <c r="G44" s="247">
        <v>755400</v>
      </c>
      <c r="H44" s="247">
        <v>5691561.3000000007</v>
      </c>
      <c r="I44" s="247">
        <v>755400</v>
      </c>
      <c r="J44" s="247">
        <v>755400</v>
      </c>
    </row>
    <row r="45" spans="3:10" x14ac:dyDescent="0.3">
      <c r="C45" s="246" t="s">
        <v>159</v>
      </c>
      <c r="D45" s="246" t="s">
        <v>160</v>
      </c>
      <c r="E45" s="246" t="s">
        <v>161</v>
      </c>
      <c r="F45" s="246"/>
      <c r="G45" s="247">
        <v>755400</v>
      </c>
      <c r="H45" s="247">
        <v>5691561.3000000007</v>
      </c>
      <c r="I45" s="247">
        <v>755400</v>
      </c>
      <c r="J45" s="247">
        <v>755400</v>
      </c>
    </row>
    <row r="46" spans="3:10" x14ac:dyDescent="0.3">
      <c r="C46" s="246"/>
      <c r="D46" s="246"/>
      <c r="E46" s="246" t="s">
        <v>162</v>
      </c>
      <c r="F46" s="246"/>
      <c r="G46" s="247">
        <v>37000</v>
      </c>
      <c r="H46" s="247">
        <v>278776.5</v>
      </c>
      <c r="I46" s="247">
        <v>37000</v>
      </c>
      <c r="J46" s="247">
        <v>37000</v>
      </c>
    </row>
    <row r="47" spans="3:10" x14ac:dyDescent="0.3">
      <c r="C47" s="246" t="s">
        <v>163</v>
      </c>
      <c r="D47" s="246" t="s">
        <v>164</v>
      </c>
      <c r="E47" s="246" t="s">
        <v>165</v>
      </c>
      <c r="F47" s="246"/>
      <c r="G47" s="247">
        <v>19000</v>
      </c>
      <c r="H47" s="247">
        <v>143155.5</v>
      </c>
      <c r="I47" s="247">
        <v>19000</v>
      </c>
      <c r="J47" s="247">
        <v>19000</v>
      </c>
    </row>
    <row r="48" spans="3:10" x14ac:dyDescent="0.3">
      <c r="C48" s="246" t="s">
        <v>163</v>
      </c>
      <c r="D48" s="246" t="s">
        <v>169</v>
      </c>
      <c r="E48" s="246" t="s">
        <v>170</v>
      </c>
      <c r="F48" s="246"/>
      <c r="G48" s="247">
        <v>18000</v>
      </c>
      <c r="H48" s="247">
        <v>135621</v>
      </c>
      <c r="I48" s="247">
        <v>18000</v>
      </c>
      <c r="J48" s="247">
        <v>18000</v>
      </c>
    </row>
    <row r="49" spans="3:10" x14ac:dyDescent="0.3">
      <c r="C49" s="246"/>
      <c r="D49" s="246"/>
      <c r="E49" s="246"/>
      <c r="F49" s="246"/>
      <c r="G49" s="247"/>
      <c r="H49" s="247">
        <v>0</v>
      </c>
      <c r="I49" s="247">
        <v>0</v>
      </c>
      <c r="J49" s="247">
        <v>0</v>
      </c>
    </row>
    <row r="50" spans="3:10" x14ac:dyDescent="0.3">
      <c r="C50" s="246"/>
      <c r="D50" s="246"/>
      <c r="E50" s="246" t="s">
        <v>176</v>
      </c>
      <c r="F50" s="246"/>
      <c r="G50" s="247">
        <v>794460</v>
      </c>
      <c r="H50" s="247">
        <v>5985858.8700000001</v>
      </c>
      <c r="I50" s="247">
        <v>807921.07</v>
      </c>
      <c r="J50" s="247">
        <v>807921.07</v>
      </c>
    </row>
    <row r="52" spans="3:10" x14ac:dyDescent="0.3">
      <c r="F52" t="s">
        <v>184</v>
      </c>
      <c r="G52">
        <v>7.5345000000000004</v>
      </c>
    </row>
    <row r="53" spans="3:10" x14ac:dyDescent="0.3">
      <c r="F53">
        <v>49</v>
      </c>
      <c r="G53">
        <v>755400</v>
      </c>
    </row>
    <row r="54" spans="3:10" x14ac:dyDescent="0.3">
      <c r="F54">
        <v>55</v>
      </c>
      <c r="G54">
        <v>37000</v>
      </c>
    </row>
    <row r="55" spans="3:10" x14ac:dyDescent="0.3">
      <c r="F55">
        <v>25</v>
      </c>
      <c r="G55">
        <v>2060</v>
      </c>
    </row>
    <row r="56" spans="3:10" x14ac:dyDescent="0.3">
      <c r="F56" t="s">
        <v>185</v>
      </c>
      <c r="G56">
        <v>794460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8BF9C-827D-4822-B29B-B3B9CA64E6D7}">
  <dimension ref="A4:D42"/>
  <sheetViews>
    <sheetView topLeftCell="A19" workbookViewId="0">
      <selection activeCell="F5" sqref="F5"/>
    </sheetView>
  </sheetViews>
  <sheetFormatPr defaultRowHeight="14.4" x14ac:dyDescent="0.3"/>
  <cols>
    <col min="1" max="1" width="34.109375" customWidth="1"/>
    <col min="2" max="2" width="24.33203125" customWidth="1"/>
  </cols>
  <sheetData>
    <row r="4" spans="1:4" x14ac:dyDescent="0.3">
      <c r="A4" s="323" t="s">
        <v>119</v>
      </c>
      <c r="B4" s="324"/>
      <c r="C4" s="324"/>
      <c r="D4" s="324"/>
    </row>
    <row r="5" spans="1:4" x14ac:dyDescent="0.3">
      <c r="A5" s="190" t="s">
        <v>119</v>
      </c>
      <c r="B5" s="190" t="s">
        <v>120</v>
      </c>
      <c r="C5" s="190" t="s">
        <v>121</v>
      </c>
      <c r="D5" s="190" t="s">
        <v>121</v>
      </c>
    </row>
    <row r="6" spans="1:4" x14ac:dyDescent="0.3">
      <c r="A6" s="153" t="s">
        <v>122</v>
      </c>
      <c r="B6" s="154">
        <v>957268</v>
      </c>
      <c r="C6" s="155">
        <v>1.513354738412743</v>
      </c>
      <c r="D6" s="156">
        <v>0.98830064009911212</v>
      </c>
    </row>
    <row r="7" spans="1:4" x14ac:dyDescent="0.3">
      <c r="A7" s="157" t="s">
        <v>123</v>
      </c>
      <c r="B7" s="158">
        <v>957268</v>
      </c>
      <c r="C7" s="160">
        <v>1.513354738412743</v>
      </c>
      <c r="D7" s="161">
        <v>0.98830064009911212</v>
      </c>
    </row>
    <row r="8" spans="1:4" x14ac:dyDescent="0.3">
      <c r="A8" s="162" t="s">
        <v>124</v>
      </c>
      <c r="B8" s="163">
        <v>957268</v>
      </c>
      <c r="C8" s="160">
        <v>1.513354738412743</v>
      </c>
      <c r="D8" s="161">
        <v>0.98830064009911212</v>
      </c>
    </row>
    <row r="9" spans="1:4" x14ac:dyDescent="0.3">
      <c r="A9" s="164" t="s">
        <v>125</v>
      </c>
      <c r="B9" s="165">
        <v>650095</v>
      </c>
      <c r="C9" s="155">
        <v>1.1916845920165926</v>
      </c>
      <c r="D9" s="156">
        <v>0.99953105781057816</v>
      </c>
    </row>
    <row r="10" spans="1:4" x14ac:dyDescent="0.3">
      <c r="A10" s="157" t="s">
        <v>123</v>
      </c>
      <c r="B10" s="158">
        <v>650095</v>
      </c>
      <c r="C10" s="160">
        <v>1.1916845920165926</v>
      </c>
      <c r="D10" s="161">
        <v>0.99953105781057816</v>
      </c>
    </row>
    <row r="11" spans="1:4" x14ac:dyDescent="0.3">
      <c r="A11" s="162" t="s">
        <v>124</v>
      </c>
      <c r="B11" s="163">
        <v>605311</v>
      </c>
      <c r="C11" s="160">
        <v>1.2087089335449672</v>
      </c>
      <c r="D11" s="161">
        <v>0.99985298975883719</v>
      </c>
    </row>
    <row r="12" spans="1:4" x14ac:dyDescent="0.3">
      <c r="A12" s="167" t="s">
        <v>126</v>
      </c>
      <c r="B12" s="163">
        <v>44784</v>
      </c>
      <c r="C12" s="160">
        <v>1.0018478527061023</v>
      </c>
      <c r="D12" s="161">
        <v>0.99519999999999997</v>
      </c>
    </row>
    <row r="13" spans="1:4" x14ac:dyDescent="0.3">
      <c r="A13" s="164" t="s">
        <v>127</v>
      </c>
      <c r="B13" s="165">
        <v>177507</v>
      </c>
      <c r="C13" s="155">
        <v>1.0797783737167295</v>
      </c>
      <c r="D13" s="156">
        <v>0.97104485776805249</v>
      </c>
    </row>
    <row r="14" spans="1:4" x14ac:dyDescent="0.3">
      <c r="A14" s="157" t="s">
        <v>123</v>
      </c>
      <c r="B14" s="158">
        <v>177507</v>
      </c>
      <c r="C14" s="160">
        <v>1.0797783737167295</v>
      </c>
      <c r="D14" s="161">
        <v>0.97104485776805249</v>
      </c>
    </row>
    <row r="15" spans="1:4" x14ac:dyDescent="0.3">
      <c r="A15" s="162" t="s">
        <v>124</v>
      </c>
      <c r="B15" s="163">
        <v>177507</v>
      </c>
      <c r="C15" s="160">
        <v>1.0797783737167295</v>
      </c>
      <c r="D15" s="161">
        <v>0.97104485776805249</v>
      </c>
    </row>
    <row r="16" spans="1:4" x14ac:dyDescent="0.3">
      <c r="A16" s="168" t="s">
        <v>128</v>
      </c>
      <c r="B16" s="169">
        <v>1600</v>
      </c>
      <c r="C16" s="155"/>
      <c r="D16" s="156">
        <v>1</v>
      </c>
    </row>
    <row r="17" spans="1:4" x14ac:dyDescent="0.3">
      <c r="A17" s="170" t="s">
        <v>124</v>
      </c>
      <c r="B17" s="171">
        <v>1600</v>
      </c>
      <c r="C17" s="160"/>
      <c r="D17" s="161">
        <v>1</v>
      </c>
    </row>
    <row r="18" spans="1:4" x14ac:dyDescent="0.3">
      <c r="A18" s="164" t="s">
        <v>129</v>
      </c>
      <c r="B18" s="166">
        <v>5386200</v>
      </c>
      <c r="C18" s="155">
        <v>1.0737473375513624</v>
      </c>
      <c r="D18" s="156">
        <v>1.0300237129962517</v>
      </c>
    </row>
    <row r="19" spans="1:4" x14ac:dyDescent="0.3">
      <c r="A19" s="157" t="s">
        <v>130</v>
      </c>
      <c r="B19" s="159">
        <v>5386200</v>
      </c>
      <c r="C19" s="160">
        <v>1.0737473375513624</v>
      </c>
      <c r="D19" s="161">
        <v>1.0300237129962517</v>
      </c>
    </row>
    <row r="20" spans="1:4" x14ac:dyDescent="0.3">
      <c r="A20" s="162" t="s">
        <v>131</v>
      </c>
      <c r="B20" s="172">
        <v>5386200</v>
      </c>
      <c r="C20" s="160">
        <v>1.0737473375513624</v>
      </c>
      <c r="D20" s="161">
        <v>1.0300237129962517</v>
      </c>
    </row>
    <row r="21" spans="1:4" x14ac:dyDescent="0.3">
      <c r="A21" s="164" t="s">
        <v>132</v>
      </c>
      <c r="B21" s="165">
        <v>2855</v>
      </c>
      <c r="C21" s="155">
        <v>0.65603883749917991</v>
      </c>
      <c r="D21" s="156">
        <v>0.28549999999999998</v>
      </c>
    </row>
    <row r="22" spans="1:4" x14ac:dyDescent="0.3">
      <c r="A22" s="157" t="s">
        <v>133</v>
      </c>
      <c r="B22" s="158">
        <v>5</v>
      </c>
      <c r="C22" s="160">
        <v>0</v>
      </c>
      <c r="D22" s="161"/>
    </row>
    <row r="23" spans="1:4" x14ac:dyDescent="0.3">
      <c r="A23" s="162" t="s">
        <v>134</v>
      </c>
      <c r="B23" s="163">
        <v>5</v>
      </c>
      <c r="C23" s="160">
        <v>0</v>
      </c>
      <c r="D23" s="161"/>
    </row>
    <row r="24" spans="1:4" ht="42" x14ac:dyDescent="0.3">
      <c r="A24" s="173" t="s">
        <v>135</v>
      </c>
      <c r="B24" s="158">
        <v>2850</v>
      </c>
      <c r="C24" s="160">
        <v>0.65668505384817444</v>
      </c>
      <c r="D24" s="161">
        <v>0.28499999999999998</v>
      </c>
    </row>
    <row r="25" spans="1:4" x14ac:dyDescent="0.3">
      <c r="A25" s="162" t="s">
        <v>136</v>
      </c>
      <c r="B25" s="163">
        <v>2850</v>
      </c>
      <c r="C25" s="160">
        <v>0.65668505384817444</v>
      </c>
      <c r="D25" s="161">
        <v>0.28499999999999998</v>
      </c>
    </row>
    <row r="26" spans="1:4" x14ac:dyDescent="0.3">
      <c r="A26" s="164" t="s">
        <v>137</v>
      </c>
      <c r="B26" s="165">
        <v>252240</v>
      </c>
      <c r="C26" s="155">
        <v>1.0086376344001817</v>
      </c>
      <c r="D26" s="156">
        <v>0.97919254658385091</v>
      </c>
    </row>
    <row r="27" spans="1:4" x14ac:dyDescent="0.3">
      <c r="A27" s="157" t="s">
        <v>130</v>
      </c>
      <c r="B27" s="158">
        <v>147586</v>
      </c>
      <c r="C27" s="160">
        <v>0.98427115208451088</v>
      </c>
      <c r="D27" s="161">
        <v>0.97416501650165022</v>
      </c>
    </row>
    <row r="28" spans="1:4" x14ac:dyDescent="0.3">
      <c r="A28" s="174" t="s">
        <v>131</v>
      </c>
      <c r="B28" s="175">
        <v>5191</v>
      </c>
      <c r="C28" s="160"/>
      <c r="D28" s="161"/>
    </row>
    <row r="29" spans="1:4" x14ac:dyDescent="0.3">
      <c r="A29" s="176" t="s">
        <v>138</v>
      </c>
      <c r="B29" s="177">
        <v>604</v>
      </c>
      <c r="C29" s="160"/>
      <c r="D29" s="161"/>
    </row>
    <row r="30" spans="1:4" x14ac:dyDescent="0.3">
      <c r="A30" s="178" t="s">
        <v>139</v>
      </c>
      <c r="B30" s="179">
        <v>141791</v>
      </c>
      <c r="C30" s="160">
        <v>0.98427115208451088</v>
      </c>
      <c r="D30" s="161">
        <v>0.93591419141914189</v>
      </c>
    </row>
    <row r="31" spans="1:4" x14ac:dyDescent="0.3">
      <c r="A31" s="180" t="s">
        <v>133</v>
      </c>
      <c r="B31" s="181"/>
      <c r="C31" s="160"/>
      <c r="D31" s="161">
        <v>0</v>
      </c>
    </row>
    <row r="32" spans="1:4" x14ac:dyDescent="0.3">
      <c r="A32" s="182" t="s">
        <v>134</v>
      </c>
      <c r="B32" s="183"/>
      <c r="C32" s="160"/>
      <c r="D32" s="161">
        <v>0</v>
      </c>
    </row>
    <row r="33" spans="1:4" x14ac:dyDescent="0.3">
      <c r="A33" s="157" t="s">
        <v>140</v>
      </c>
      <c r="B33" s="158">
        <v>104252</v>
      </c>
      <c r="C33" s="160">
        <v>1.0447894096346204</v>
      </c>
      <c r="D33" s="161">
        <v>0.98723484848484844</v>
      </c>
    </row>
    <row r="34" spans="1:4" x14ac:dyDescent="0.3">
      <c r="A34" s="184" t="s">
        <v>141</v>
      </c>
      <c r="B34" s="185">
        <v>100025</v>
      </c>
      <c r="C34" s="160">
        <v>1.0447894096346204</v>
      </c>
      <c r="D34" s="161">
        <v>0.94720643939393945</v>
      </c>
    </row>
    <row r="35" spans="1:4" x14ac:dyDescent="0.3">
      <c r="A35" s="186" t="s">
        <v>142</v>
      </c>
      <c r="B35" s="187">
        <v>663</v>
      </c>
      <c r="C35" s="160"/>
      <c r="D35" s="161"/>
    </row>
    <row r="36" spans="1:4" x14ac:dyDescent="0.3">
      <c r="A36" s="178" t="s">
        <v>143</v>
      </c>
      <c r="B36" s="179">
        <v>3564</v>
      </c>
      <c r="C36" s="160"/>
      <c r="D36" s="161"/>
    </row>
    <row r="37" spans="1:4" x14ac:dyDescent="0.3">
      <c r="A37" s="157" t="s">
        <v>144</v>
      </c>
      <c r="B37" s="158">
        <v>402</v>
      </c>
      <c r="C37" s="160">
        <v>1</v>
      </c>
      <c r="D37" s="161">
        <v>1.0049999999999999</v>
      </c>
    </row>
    <row r="38" spans="1:4" x14ac:dyDescent="0.3">
      <c r="A38" s="162" t="s">
        <v>145</v>
      </c>
      <c r="B38" s="163">
        <v>402</v>
      </c>
      <c r="C38" s="160">
        <v>1</v>
      </c>
      <c r="D38" s="161">
        <v>1.0049999999999999</v>
      </c>
    </row>
    <row r="39" spans="1:4" x14ac:dyDescent="0.3">
      <c r="A39" s="164" t="s">
        <v>146</v>
      </c>
      <c r="B39" s="165"/>
      <c r="C39" s="155">
        <v>0</v>
      </c>
      <c r="D39" s="156"/>
    </row>
    <row r="40" spans="1:4" x14ac:dyDescent="0.3">
      <c r="A40" s="157" t="s">
        <v>147</v>
      </c>
      <c r="B40" s="158">
        <v>1357</v>
      </c>
      <c r="C40" s="160">
        <v>1</v>
      </c>
      <c r="D40" s="161">
        <v>1</v>
      </c>
    </row>
    <row r="41" spans="1:4" ht="15" thickBot="1" x14ac:dyDescent="0.35">
      <c r="A41" s="188"/>
      <c r="B41" s="189">
        <v>-1686</v>
      </c>
      <c r="C41" s="160">
        <v>0</v>
      </c>
      <c r="D41" s="161"/>
    </row>
    <row r="42" spans="1:4" x14ac:dyDescent="0.3">
      <c r="A42" s="149" t="s">
        <v>148</v>
      </c>
      <c r="B42" s="151">
        <v>7427765</v>
      </c>
      <c r="C42" s="150"/>
      <c r="D42" s="148"/>
    </row>
  </sheetData>
  <mergeCells count="1">
    <mergeCell ref="A4:D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88"/>
  <sheetViews>
    <sheetView zoomScale="80" zoomScaleNormal="80" workbookViewId="0">
      <selection activeCell="E17" sqref="E17"/>
    </sheetView>
  </sheetViews>
  <sheetFormatPr defaultRowHeight="14.4" x14ac:dyDescent="0.3"/>
  <cols>
    <col min="1" max="1" width="13.5546875" customWidth="1"/>
    <col min="2" max="2" width="8.44140625" customWidth="1"/>
    <col min="3" max="3" width="8.6640625" customWidth="1"/>
    <col min="4" max="4" width="35.5546875" customWidth="1"/>
    <col min="5" max="7" width="25.33203125" customWidth="1"/>
    <col min="8" max="8" width="25.33203125" style="125" customWidth="1"/>
    <col min="9" max="9" width="20.33203125" style="144" customWidth="1"/>
    <col min="10" max="11" width="25.33203125" style="124" customWidth="1"/>
    <col min="12" max="12" width="25.33203125" customWidth="1"/>
  </cols>
  <sheetData>
    <row r="1" spans="1:12" ht="42" customHeight="1" x14ac:dyDescent="0.3">
      <c r="A1" s="325" t="s">
        <v>109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</row>
    <row r="2" spans="1:12" ht="17.399999999999999" x14ac:dyDescent="0.3">
      <c r="A2" s="4"/>
      <c r="B2" s="4"/>
      <c r="C2" s="4"/>
      <c r="D2" s="4"/>
      <c r="E2" s="4">
        <v>7429451</v>
      </c>
      <c r="F2" s="234">
        <f>+E2-E6</f>
        <v>1.0600000005215406</v>
      </c>
      <c r="G2" s="4"/>
      <c r="H2" s="111"/>
      <c r="I2" s="133"/>
      <c r="J2" s="27"/>
      <c r="K2" s="126"/>
      <c r="L2" s="5"/>
    </row>
    <row r="3" spans="1:12" ht="18" customHeight="1" x14ac:dyDescent="0.3">
      <c r="A3" s="300" t="s">
        <v>31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</row>
    <row r="4" spans="1:12" ht="17.399999999999999" x14ac:dyDescent="0.3">
      <c r="A4" s="4"/>
      <c r="B4" s="4"/>
      <c r="C4" s="4"/>
      <c r="D4" s="4"/>
      <c r="E4" s="4"/>
      <c r="F4" s="67">
        <v>7.5345000000000004</v>
      </c>
      <c r="G4" s="4" t="s">
        <v>53</v>
      </c>
      <c r="H4" s="111" t="s">
        <v>99</v>
      </c>
      <c r="I4" s="134" t="s">
        <v>53</v>
      </c>
      <c r="J4" s="132" t="s">
        <v>99</v>
      </c>
      <c r="K4" s="132" t="s">
        <v>99</v>
      </c>
      <c r="L4" s="132" t="s">
        <v>99</v>
      </c>
    </row>
    <row r="5" spans="1:12" x14ac:dyDescent="0.3">
      <c r="A5" s="56" t="s">
        <v>33</v>
      </c>
      <c r="B5" s="360" t="s">
        <v>34</v>
      </c>
      <c r="C5" s="360"/>
      <c r="D5" s="361"/>
      <c r="E5" s="22" t="s">
        <v>12</v>
      </c>
      <c r="F5" s="22" t="s">
        <v>12</v>
      </c>
      <c r="G5" s="72" t="s">
        <v>13</v>
      </c>
      <c r="H5" s="112" t="s">
        <v>13</v>
      </c>
      <c r="I5" s="145" t="s">
        <v>43</v>
      </c>
      <c r="J5" s="23" t="s">
        <v>43</v>
      </c>
      <c r="K5" s="23" t="s">
        <v>107</v>
      </c>
      <c r="L5" s="23" t="s">
        <v>108</v>
      </c>
    </row>
    <row r="6" spans="1:12" x14ac:dyDescent="0.3">
      <c r="A6" s="56"/>
      <c r="B6" s="55"/>
      <c r="C6" s="55"/>
      <c r="D6" s="22"/>
      <c r="E6" s="295">
        <f>+SAŽETAK!F11</f>
        <v>7429449.9399999995</v>
      </c>
      <c r="F6" s="295">
        <f>+E6/F4</f>
        <v>986057.46101267496</v>
      </c>
      <c r="G6" s="73">
        <f>+G7+G21+G76+G82</f>
        <v>7918170</v>
      </c>
      <c r="H6" s="112">
        <f>+G6/F4</f>
        <v>1050921.7599044396</v>
      </c>
      <c r="I6" s="135">
        <f>+J6/F4</f>
        <v>131105.71387544033</v>
      </c>
      <c r="J6" s="288">
        <f>+J7+J21+J75</f>
        <v>987816.00119450525</v>
      </c>
      <c r="K6" s="288">
        <f t="shared" ref="K6" si="0">+K7+K21+K75</f>
        <v>987816.00119450525</v>
      </c>
      <c r="L6" s="288">
        <f>+K6</f>
        <v>987816.00119450525</v>
      </c>
    </row>
    <row r="7" spans="1:12" ht="14.4" customHeight="1" x14ac:dyDescent="0.3">
      <c r="A7" s="104" t="s">
        <v>78</v>
      </c>
      <c r="B7" s="368" t="s">
        <v>79</v>
      </c>
      <c r="C7" s="368"/>
      <c r="D7" s="368"/>
      <c r="E7" s="289">
        <f>+E8+E17</f>
        <v>5991511.0699999994</v>
      </c>
      <c r="F7" s="289">
        <f>+F9+F17+F15</f>
        <v>810526.38794876891</v>
      </c>
      <c r="G7" s="294">
        <v>6002200</v>
      </c>
      <c r="H7" s="291">
        <f>+G7/$F$4</f>
        <v>796628.84066626849</v>
      </c>
      <c r="I7" s="292">
        <f>+J7*F4</f>
        <v>6175562.5200000005</v>
      </c>
      <c r="J7" s="293">
        <f>+J9+J16</f>
        <v>819638.00119450525</v>
      </c>
      <c r="K7" s="293">
        <f t="shared" ref="K7:L7" si="1">+K9+K16</f>
        <v>819638.00119450525</v>
      </c>
      <c r="L7" s="293">
        <f t="shared" si="1"/>
        <v>819638.00119450525</v>
      </c>
    </row>
    <row r="8" spans="1:12" ht="18" customHeight="1" x14ac:dyDescent="0.3">
      <c r="A8" s="51" t="s">
        <v>72</v>
      </c>
      <c r="B8" s="369" t="s">
        <v>73</v>
      </c>
      <c r="C8" s="369"/>
      <c r="D8" s="369"/>
      <c r="E8" s="66">
        <f>+E9</f>
        <v>605310.71999999997</v>
      </c>
      <c r="F8" s="66">
        <f>+E8/$F$4</f>
        <v>80338.538721879348</v>
      </c>
      <c r="G8" s="47">
        <f>+G9</f>
        <v>482000</v>
      </c>
      <c r="H8" s="117">
        <f t="shared" ref="H8:H81" si="2">+G8/$F$4</f>
        <v>63972.393655849752</v>
      </c>
      <c r="I8" s="136">
        <f>+I9+I12</f>
        <v>484001.22000000003</v>
      </c>
      <c r="J8" s="70">
        <f>+J9</f>
        <v>64238.001194505268</v>
      </c>
      <c r="K8" s="70">
        <f>+J8</f>
        <v>64238.001194505268</v>
      </c>
      <c r="L8" s="70">
        <f>+K8</f>
        <v>64238.001194505268</v>
      </c>
    </row>
    <row r="9" spans="1:12" ht="14.4" customHeight="1" x14ac:dyDescent="0.3">
      <c r="A9" s="65" t="s">
        <v>86</v>
      </c>
      <c r="B9" s="362" t="s">
        <v>80</v>
      </c>
      <c r="C9" s="363"/>
      <c r="D9" s="364"/>
      <c r="E9" s="127">
        <f>+E10+E13</f>
        <v>605310.71999999997</v>
      </c>
      <c r="F9" s="127">
        <f t="shared" ref="F9:F12" si="3">+E9/$F$4</f>
        <v>80338.538721879348</v>
      </c>
      <c r="G9" s="128">
        <f>+G10</f>
        <v>482000</v>
      </c>
      <c r="H9" s="129">
        <f t="shared" si="2"/>
        <v>63972.393655849752</v>
      </c>
      <c r="I9" s="137">
        <f>+I10</f>
        <v>480610.69</v>
      </c>
      <c r="J9" s="131">
        <f>+J10+J12</f>
        <v>64238.001194505268</v>
      </c>
      <c r="K9" s="131">
        <f t="shared" ref="K9:L20" si="4">+J9</f>
        <v>64238.001194505268</v>
      </c>
      <c r="L9" s="131">
        <f t="shared" si="4"/>
        <v>64238.001194505268</v>
      </c>
    </row>
    <row r="10" spans="1:12" ht="14.4" customHeight="1" x14ac:dyDescent="0.3">
      <c r="A10" s="49">
        <v>3</v>
      </c>
      <c r="B10" s="329" t="s">
        <v>22</v>
      </c>
      <c r="C10" s="329"/>
      <c r="D10" s="329"/>
      <c r="E10" s="66">
        <v>489910.72</v>
      </c>
      <c r="F10" s="66">
        <f t="shared" si="3"/>
        <v>65022.3266308315</v>
      </c>
      <c r="G10" s="47">
        <v>482000</v>
      </c>
      <c r="H10" s="117">
        <f>+G10/$F$4</f>
        <v>63972.393655849752</v>
      </c>
      <c r="I10" s="136">
        <f>+I11</f>
        <v>480610.69</v>
      </c>
      <c r="J10" s="74">
        <f>+I10/$F$4</f>
        <v>63788.00053089123</v>
      </c>
      <c r="K10" s="70">
        <f t="shared" si="4"/>
        <v>63788.00053089123</v>
      </c>
      <c r="L10" s="70">
        <f t="shared" si="4"/>
        <v>63788.00053089123</v>
      </c>
    </row>
    <row r="11" spans="1:12" ht="14.4" customHeight="1" x14ac:dyDescent="0.3">
      <c r="A11" s="50">
        <v>32</v>
      </c>
      <c r="B11" s="331" t="s">
        <v>35</v>
      </c>
      <c r="C11" s="331"/>
      <c r="D11" s="331"/>
      <c r="E11" s="66">
        <v>486110.62</v>
      </c>
      <c r="F11" s="66">
        <f t="shared" si="3"/>
        <v>64517.966686575084</v>
      </c>
      <c r="G11" s="47">
        <v>478000</v>
      </c>
      <c r="H11" s="117">
        <f t="shared" si="2"/>
        <v>63441.502422191254</v>
      </c>
      <c r="I11" s="136">
        <v>480610.69</v>
      </c>
      <c r="J11" s="74">
        <f t="shared" ref="J11:J12" si="5">+I11/$F$4</f>
        <v>63788.00053089123</v>
      </c>
      <c r="K11" s="70">
        <f t="shared" si="4"/>
        <v>63788.00053089123</v>
      </c>
      <c r="L11" s="70">
        <f t="shared" si="4"/>
        <v>63788.00053089123</v>
      </c>
    </row>
    <row r="12" spans="1:12" ht="15" customHeight="1" x14ac:dyDescent="0.3">
      <c r="A12" s="50">
        <v>34</v>
      </c>
      <c r="B12" s="331" t="s">
        <v>74</v>
      </c>
      <c r="C12" s="331"/>
      <c r="D12" s="331"/>
      <c r="E12" s="66">
        <v>3800.1</v>
      </c>
      <c r="F12" s="66">
        <f t="shared" si="3"/>
        <v>504.35994425642042</v>
      </c>
      <c r="G12" s="47">
        <v>4000</v>
      </c>
      <c r="H12" s="117">
        <f t="shared" si="2"/>
        <v>530.89123365850423</v>
      </c>
      <c r="I12" s="136">
        <v>3390.53</v>
      </c>
      <c r="J12" s="74">
        <f t="shared" si="5"/>
        <v>450.00066361404208</v>
      </c>
      <c r="K12" s="70">
        <f t="shared" si="4"/>
        <v>450.00066361404208</v>
      </c>
      <c r="L12" s="70">
        <f t="shared" si="4"/>
        <v>450.00066361404208</v>
      </c>
    </row>
    <row r="13" spans="1:12" s="265" customFormat="1" ht="15" customHeight="1" x14ac:dyDescent="0.3">
      <c r="A13" s="277" t="s">
        <v>189</v>
      </c>
      <c r="B13" s="394" t="s">
        <v>190</v>
      </c>
      <c r="C13" s="395"/>
      <c r="D13" s="396"/>
      <c r="E13" s="278">
        <f>+E14</f>
        <v>115400</v>
      </c>
      <c r="F13" s="278">
        <f>+E13/F4</f>
        <v>15316.212091047846</v>
      </c>
      <c r="G13" s="130">
        <v>0</v>
      </c>
      <c r="H13" s="129">
        <f t="shared" si="2"/>
        <v>0</v>
      </c>
      <c r="I13" s="137"/>
      <c r="J13" s="128"/>
      <c r="K13" s="131"/>
      <c r="L13" s="131"/>
    </row>
    <row r="14" spans="1:12" s="265" customFormat="1" ht="15" customHeight="1" x14ac:dyDescent="0.3">
      <c r="A14" s="275">
        <v>3</v>
      </c>
      <c r="B14" s="332" t="s">
        <v>22</v>
      </c>
      <c r="C14" s="333"/>
      <c r="D14" s="334"/>
      <c r="E14" s="66">
        <f>+E15</f>
        <v>115400</v>
      </c>
      <c r="F14" s="279">
        <f>+E14/F4</f>
        <v>15316.212091047846</v>
      </c>
      <c r="G14" s="47"/>
      <c r="H14" s="117"/>
      <c r="I14" s="136"/>
      <c r="J14" s="74"/>
      <c r="K14" s="70"/>
      <c r="L14" s="70"/>
    </row>
    <row r="15" spans="1:12" s="265" customFormat="1" ht="15" customHeight="1" x14ac:dyDescent="0.3">
      <c r="A15" s="275">
        <v>32</v>
      </c>
      <c r="B15" s="332" t="s">
        <v>35</v>
      </c>
      <c r="C15" s="333"/>
      <c r="D15" s="334"/>
      <c r="E15" s="66">
        <v>115400</v>
      </c>
      <c r="F15" s="279">
        <f>+E15/F4</f>
        <v>15316.212091047846</v>
      </c>
      <c r="G15" s="47"/>
      <c r="H15" s="117"/>
      <c r="I15" s="136"/>
      <c r="J15" s="74"/>
      <c r="K15" s="70"/>
      <c r="L15" s="70"/>
    </row>
    <row r="16" spans="1:12" ht="22.8" customHeight="1" x14ac:dyDescent="0.3">
      <c r="A16" s="48" t="s">
        <v>54</v>
      </c>
      <c r="B16" s="376" t="s">
        <v>55</v>
      </c>
      <c r="C16" s="377"/>
      <c r="D16" s="378"/>
      <c r="E16" s="9">
        <f>+E17</f>
        <v>5386200.3499999996</v>
      </c>
      <c r="F16" s="9">
        <f>+F17</f>
        <v>714871.63713584165</v>
      </c>
      <c r="G16" s="74">
        <f>+G17</f>
        <v>5520200</v>
      </c>
      <c r="H16" s="117">
        <f t="shared" si="2"/>
        <v>732656.44701041875</v>
      </c>
      <c r="I16" s="136">
        <f>J16*$F$4</f>
        <v>5691561.3000000007</v>
      </c>
      <c r="J16" s="70">
        <f>+J17</f>
        <v>755400</v>
      </c>
      <c r="K16" s="70">
        <f t="shared" si="4"/>
        <v>755400</v>
      </c>
      <c r="L16" s="70">
        <f t="shared" si="4"/>
        <v>755400</v>
      </c>
    </row>
    <row r="17" spans="1:12" ht="14.4" customHeight="1" x14ac:dyDescent="0.3">
      <c r="A17" s="62" t="s">
        <v>87</v>
      </c>
      <c r="B17" s="373" t="s">
        <v>81</v>
      </c>
      <c r="C17" s="374"/>
      <c r="D17" s="375"/>
      <c r="E17" s="80">
        <f>+E19+E20</f>
        <v>5386200.3499999996</v>
      </c>
      <c r="F17" s="80">
        <f>E17/$F$4</f>
        <v>714871.63713584165</v>
      </c>
      <c r="G17" s="81">
        <f>+G18</f>
        <v>5520200</v>
      </c>
      <c r="H17" s="113">
        <f t="shared" si="2"/>
        <v>732656.44701041875</v>
      </c>
      <c r="I17" s="138">
        <f>+J17*7.5345</f>
        <v>5691561.3000000007</v>
      </c>
      <c r="J17" s="82">
        <f>+J18</f>
        <v>755400</v>
      </c>
      <c r="K17" s="82">
        <f t="shared" si="4"/>
        <v>755400</v>
      </c>
      <c r="L17" s="82">
        <f t="shared" si="4"/>
        <v>755400</v>
      </c>
    </row>
    <row r="18" spans="1:12" ht="15" customHeight="1" x14ac:dyDescent="0.3">
      <c r="A18" s="49">
        <v>3</v>
      </c>
      <c r="B18" s="329" t="s">
        <v>22</v>
      </c>
      <c r="C18" s="329"/>
      <c r="D18" s="329"/>
      <c r="E18" s="9">
        <v>5386200.3499999996</v>
      </c>
      <c r="F18" s="9">
        <f>E18/$F$4</f>
        <v>714871.63713584165</v>
      </c>
      <c r="G18" s="47">
        <f>+G19+G20</f>
        <v>5520200</v>
      </c>
      <c r="H18" s="117">
        <f t="shared" si="2"/>
        <v>732656.44701041875</v>
      </c>
      <c r="I18" s="136">
        <f>+J18*$F$4</f>
        <v>5691561.3000000007</v>
      </c>
      <c r="J18" s="70">
        <f>+J19+J20</f>
        <v>755400</v>
      </c>
      <c r="K18" s="70">
        <f t="shared" si="4"/>
        <v>755400</v>
      </c>
      <c r="L18" s="70">
        <f t="shared" si="4"/>
        <v>755400</v>
      </c>
    </row>
    <row r="19" spans="1:12" ht="22.8" customHeight="1" x14ac:dyDescent="0.3">
      <c r="A19" s="50">
        <v>31</v>
      </c>
      <c r="B19" s="330" t="s">
        <v>56</v>
      </c>
      <c r="C19" s="331"/>
      <c r="D19" s="331"/>
      <c r="E19" s="9">
        <v>5243395.43</v>
      </c>
      <c r="F19" s="9">
        <f t="shared" ref="F19:F20" si="6">E19/$F$4</f>
        <v>695918.16709801566</v>
      </c>
      <c r="G19" s="47">
        <v>5393000</v>
      </c>
      <c r="H19" s="117">
        <f t="shared" si="2"/>
        <v>715774.10578007821</v>
      </c>
      <c r="I19" s="136">
        <f t="shared" ref="I19:I22" si="7">+J19*$F$4</f>
        <v>5536350.6000000006</v>
      </c>
      <c r="J19" s="70">
        <f>755400-20600</f>
        <v>734800</v>
      </c>
      <c r="K19" s="70">
        <f t="shared" si="4"/>
        <v>734800</v>
      </c>
      <c r="L19" s="70">
        <f t="shared" si="4"/>
        <v>734800</v>
      </c>
    </row>
    <row r="20" spans="1:12" x14ac:dyDescent="0.3">
      <c r="A20" s="50">
        <v>32</v>
      </c>
      <c r="B20" s="332" t="s">
        <v>35</v>
      </c>
      <c r="C20" s="333"/>
      <c r="D20" s="334"/>
      <c r="E20" s="9">
        <v>142804.92000000001</v>
      </c>
      <c r="F20" s="9">
        <f t="shared" si="6"/>
        <v>18953.470037826002</v>
      </c>
      <c r="G20" s="47">
        <v>127200</v>
      </c>
      <c r="H20" s="117">
        <f t="shared" si="2"/>
        <v>16882.341230340433</v>
      </c>
      <c r="I20" s="136">
        <f t="shared" si="7"/>
        <v>155210.70000000001</v>
      </c>
      <c r="J20" s="70">
        <f>2800+17800</f>
        <v>20600</v>
      </c>
      <c r="K20" s="70">
        <f t="shared" si="4"/>
        <v>20600</v>
      </c>
      <c r="L20" s="70">
        <f t="shared" si="4"/>
        <v>20600</v>
      </c>
    </row>
    <row r="21" spans="1:12" x14ac:dyDescent="0.3">
      <c r="A21" s="105">
        <v>8055</v>
      </c>
      <c r="B21" s="370" t="s">
        <v>57</v>
      </c>
      <c r="C21" s="371"/>
      <c r="D21" s="372"/>
      <c r="E21" s="289">
        <f>+E22+E27+E35+E38+E47+E51+E57+E66+E69+E75</f>
        <v>1690448.8699999999</v>
      </c>
      <c r="F21" s="289">
        <f>+F23+F27+F39+F44+F47+F51+F57+F61+F66+F69+F76-F30-F53</f>
        <v>189921.14539783663</v>
      </c>
      <c r="G21" s="290">
        <v>1403470</v>
      </c>
      <c r="H21" s="291">
        <f>+G21/$F$4</f>
        <v>186272.47992567523</v>
      </c>
      <c r="I21" s="292">
        <f>+J21*F4</f>
        <v>1222156.176</v>
      </c>
      <c r="J21" s="293">
        <f>+J23+J39+J44+J47+J51+J66+J70</f>
        <v>162208</v>
      </c>
      <c r="K21" s="293">
        <f t="shared" ref="K21:L21" si="8">+K23+K39+K44+K47+K51+K66+K70</f>
        <v>162208</v>
      </c>
      <c r="L21" s="293">
        <f t="shared" si="8"/>
        <v>164810</v>
      </c>
    </row>
    <row r="22" spans="1:12" ht="27" customHeight="1" x14ac:dyDescent="0.3">
      <c r="A22" s="51" t="s">
        <v>58</v>
      </c>
      <c r="B22" s="326" t="s">
        <v>59</v>
      </c>
      <c r="C22" s="327"/>
      <c r="D22" s="328"/>
      <c r="E22" s="9">
        <f>+E42+E50+E59</f>
        <v>267500</v>
      </c>
      <c r="F22" s="9"/>
      <c r="G22" s="74">
        <f>+G25+G27+G31</f>
        <v>316170</v>
      </c>
      <c r="H22" s="117">
        <f t="shared" si="2"/>
        <v>41962.970336452316</v>
      </c>
      <c r="I22" s="136">
        <f t="shared" si="7"/>
        <v>0</v>
      </c>
      <c r="J22" s="70"/>
      <c r="K22" s="70"/>
      <c r="L22" s="70">
        <f t="shared" ref="L22" si="9">+K22</f>
        <v>0</v>
      </c>
    </row>
    <row r="23" spans="1:12" x14ac:dyDescent="0.3">
      <c r="A23" s="60" t="s">
        <v>88</v>
      </c>
      <c r="B23" s="365" t="s">
        <v>82</v>
      </c>
      <c r="C23" s="366"/>
      <c r="D23" s="367"/>
      <c r="E23" s="83"/>
      <c r="F23" s="83">
        <f>+E23/F4</f>
        <v>0</v>
      </c>
      <c r="G23" s="84">
        <f>+G25</f>
        <v>16170</v>
      </c>
      <c r="H23" s="114">
        <f t="shared" si="2"/>
        <v>2146.1278120645034</v>
      </c>
      <c r="I23" s="139">
        <f>+J23*F4</f>
        <v>15521.070000000002</v>
      </c>
      <c r="J23" s="85">
        <v>2060</v>
      </c>
      <c r="K23" s="85">
        <v>2060</v>
      </c>
      <c r="L23" s="85">
        <v>2060</v>
      </c>
    </row>
    <row r="24" spans="1:12" x14ac:dyDescent="0.3">
      <c r="A24" s="52">
        <v>3</v>
      </c>
      <c r="B24" s="403" t="s">
        <v>22</v>
      </c>
      <c r="C24" s="404"/>
      <c r="D24" s="405"/>
      <c r="E24" s="9"/>
      <c r="F24" s="9"/>
      <c r="G24" s="47"/>
      <c r="H24" s="117">
        <f t="shared" si="2"/>
        <v>0</v>
      </c>
      <c r="I24" s="136"/>
      <c r="J24" s="70"/>
      <c r="K24" s="70"/>
      <c r="L24" s="10"/>
    </row>
    <row r="25" spans="1:12" x14ac:dyDescent="0.3">
      <c r="A25" s="50">
        <v>32</v>
      </c>
      <c r="B25" s="332" t="s">
        <v>35</v>
      </c>
      <c r="C25" s="333"/>
      <c r="D25" s="334"/>
      <c r="E25" s="9"/>
      <c r="F25" s="9"/>
      <c r="G25" s="74">
        <v>16170</v>
      </c>
      <c r="H25" s="117">
        <f t="shared" si="2"/>
        <v>2146.1278120645034</v>
      </c>
      <c r="I25" s="136">
        <f>+I23</f>
        <v>15521.070000000002</v>
      </c>
      <c r="J25" s="70">
        <f>+J23</f>
        <v>2060</v>
      </c>
      <c r="K25" s="70">
        <f>+K23</f>
        <v>2060</v>
      </c>
      <c r="L25" s="10">
        <f>+L23</f>
        <v>2060</v>
      </c>
    </row>
    <row r="26" spans="1:12" x14ac:dyDescent="0.3">
      <c r="A26" s="50">
        <v>37</v>
      </c>
      <c r="B26" s="332" t="s">
        <v>60</v>
      </c>
      <c r="C26" s="333"/>
      <c r="D26" s="334"/>
      <c r="E26" s="9">
        <v>1300</v>
      </c>
      <c r="F26" s="9"/>
      <c r="G26" s="47"/>
      <c r="H26" s="117">
        <f t="shared" si="2"/>
        <v>0</v>
      </c>
      <c r="I26" s="136"/>
      <c r="J26" s="70"/>
      <c r="K26" s="70"/>
      <c r="L26" s="10"/>
    </row>
    <row r="27" spans="1:12" x14ac:dyDescent="0.3">
      <c r="A27" s="59" t="s">
        <v>89</v>
      </c>
      <c r="B27" s="347" t="s">
        <v>83</v>
      </c>
      <c r="C27" s="348"/>
      <c r="D27" s="349"/>
      <c r="E27" s="77">
        <f>+E30</f>
        <v>143000</v>
      </c>
      <c r="F27" s="77">
        <f>+F30</f>
        <v>18979</v>
      </c>
      <c r="G27" s="78">
        <f>+G29+G30</f>
        <v>143000</v>
      </c>
      <c r="H27" s="115">
        <f t="shared" si="2"/>
        <v>18979.361603291523</v>
      </c>
      <c r="I27" s="140"/>
      <c r="J27" s="79"/>
      <c r="K27" s="79"/>
      <c r="L27" s="79"/>
    </row>
    <row r="28" spans="1:12" x14ac:dyDescent="0.3">
      <c r="A28" s="50">
        <v>3</v>
      </c>
      <c r="B28" s="332" t="s">
        <v>22</v>
      </c>
      <c r="C28" s="333"/>
      <c r="D28" s="334"/>
      <c r="E28" s="9"/>
      <c r="F28" s="9"/>
      <c r="G28" s="47"/>
      <c r="H28" s="117">
        <f t="shared" si="2"/>
        <v>0</v>
      </c>
      <c r="I28" s="136"/>
      <c r="J28" s="70"/>
      <c r="K28" s="70"/>
      <c r="L28" s="10"/>
    </row>
    <row r="29" spans="1:12" x14ac:dyDescent="0.3">
      <c r="A29" s="50">
        <v>32</v>
      </c>
      <c r="B29" s="332" t="s">
        <v>35</v>
      </c>
      <c r="C29" s="333"/>
      <c r="D29" s="334"/>
      <c r="E29" s="9"/>
      <c r="F29" s="9"/>
      <c r="G29" s="74">
        <v>72000</v>
      </c>
      <c r="H29" s="117">
        <f t="shared" si="2"/>
        <v>9556.0422058530748</v>
      </c>
      <c r="I29" s="136"/>
      <c r="J29" s="70"/>
      <c r="K29" s="70"/>
      <c r="L29" s="10"/>
    </row>
    <row r="30" spans="1:12" x14ac:dyDescent="0.3">
      <c r="A30" s="50">
        <v>37</v>
      </c>
      <c r="B30" s="344" t="s">
        <v>60</v>
      </c>
      <c r="C30" s="345"/>
      <c r="D30" s="346"/>
      <c r="E30" s="9">
        <v>143000</v>
      </c>
      <c r="F30" s="9">
        <v>18979</v>
      </c>
      <c r="G30" s="47">
        <v>71000</v>
      </c>
      <c r="H30" s="117">
        <f t="shared" si="2"/>
        <v>9423.3193974384485</v>
      </c>
      <c r="I30" s="136"/>
      <c r="J30" s="70"/>
      <c r="K30" s="70"/>
      <c r="L30" s="10"/>
    </row>
    <row r="31" spans="1:12" x14ac:dyDescent="0.3">
      <c r="A31" s="71" t="s">
        <v>90</v>
      </c>
      <c r="B31" s="406" t="s">
        <v>94</v>
      </c>
      <c r="C31" s="407"/>
      <c r="D31" s="408"/>
      <c r="E31" s="89"/>
      <c r="F31" s="89"/>
      <c r="G31" s="87">
        <f>+G32+G33+G34</f>
        <v>157000</v>
      </c>
      <c r="H31" s="116">
        <f t="shared" si="2"/>
        <v>20837.480921096289</v>
      </c>
      <c r="I31" s="141"/>
      <c r="J31" s="91"/>
      <c r="K31" s="91"/>
      <c r="L31" s="91"/>
    </row>
    <row r="32" spans="1:12" x14ac:dyDescent="0.3">
      <c r="A32" s="50">
        <v>31</v>
      </c>
      <c r="B32" s="344" t="s">
        <v>25</v>
      </c>
      <c r="C32" s="345"/>
      <c r="D32" s="346"/>
      <c r="E32" s="9"/>
      <c r="F32" s="9"/>
      <c r="G32" s="47">
        <v>130000</v>
      </c>
      <c r="H32" s="117">
        <f t="shared" si="2"/>
        <v>17253.965093901385</v>
      </c>
      <c r="I32" s="136"/>
      <c r="J32" s="70"/>
      <c r="K32" s="70"/>
      <c r="L32" s="10"/>
    </row>
    <row r="33" spans="1:12" x14ac:dyDescent="0.3">
      <c r="A33" s="50">
        <v>32</v>
      </c>
      <c r="B33" s="344" t="s">
        <v>35</v>
      </c>
      <c r="C33" s="345"/>
      <c r="D33" s="346"/>
      <c r="E33" s="9"/>
      <c r="F33" s="9"/>
      <c r="G33" s="47">
        <f>157000-G32-G34</f>
        <v>15000</v>
      </c>
      <c r="H33" s="117">
        <f t="shared" si="2"/>
        <v>1990.8421262193906</v>
      </c>
      <c r="I33" s="136"/>
      <c r="J33" s="70"/>
      <c r="K33" s="70"/>
      <c r="L33" s="10"/>
    </row>
    <row r="34" spans="1:12" ht="15" thickBot="1" x14ac:dyDescent="0.35">
      <c r="A34" s="50">
        <v>34</v>
      </c>
      <c r="B34" s="344" t="s">
        <v>74</v>
      </c>
      <c r="C34" s="345"/>
      <c r="D34" s="346"/>
      <c r="E34" s="9"/>
      <c r="F34" s="9"/>
      <c r="G34" s="47">
        <v>12000</v>
      </c>
      <c r="H34" s="117">
        <f t="shared" si="2"/>
        <v>1592.6737009755125</v>
      </c>
      <c r="I34" s="136"/>
      <c r="J34" s="70"/>
      <c r="K34" s="70"/>
      <c r="L34" s="10"/>
    </row>
    <row r="35" spans="1:12" s="265" customFormat="1" ht="28.2" customHeight="1" thickBot="1" x14ac:dyDescent="0.35">
      <c r="A35" s="297">
        <v>18055009</v>
      </c>
      <c r="B35" s="353" t="s">
        <v>195</v>
      </c>
      <c r="C35" s="354"/>
      <c r="D35" s="355"/>
      <c r="E35" s="9">
        <f>+E36</f>
        <v>13645</v>
      </c>
      <c r="F35" s="9"/>
      <c r="G35" s="47"/>
      <c r="H35" s="117"/>
      <c r="I35" s="136"/>
      <c r="J35" s="70"/>
      <c r="K35" s="70"/>
      <c r="L35" s="10"/>
    </row>
    <row r="36" spans="1:12" s="265" customFormat="1" ht="15" thickBot="1" x14ac:dyDescent="0.35">
      <c r="A36" s="296">
        <v>3</v>
      </c>
      <c r="B36" s="356" t="s">
        <v>22</v>
      </c>
      <c r="C36" s="345"/>
      <c r="D36" s="346"/>
      <c r="E36" s="9">
        <f>+E37</f>
        <v>13645</v>
      </c>
      <c r="F36" s="9"/>
      <c r="G36" s="47"/>
      <c r="H36" s="117"/>
      <c r="I36" s="136"/>
      <c r="J36" s="70"/>
      <c r="K36" s="70"/>
      <c r="L36" s="10"/>
    </row>
    <row r="37" spans="1:12" s="265" customFormat="1" ht="15" thickBot="1" x14ac:dyDescent="0.35">
      <c r="A37" s="296">
        <v>32</v>
      </c>
      <c r="B37" s="356" t="s">
        <v>35</v>
      </c>
      <c r="C37" s="345"/>
      <c r="D37" s="346"/>
      <c r="E37" s="9">
        <v>13645</v>
      </c>
      <c r="F37" s="9"/>
      <c r="G37" s="47"/>
      <c r="H37" s="117"/>
      <c r="I37" s="136"/>
      <c r="J37" s="70"/>
      <c r="K37" s="70"/>
      <c r="L37" s="10"/>
    </row>
    <row r="38" spans="1:12" ht="20.399999999999999" customHeight="1" x14ac:dyDescent="0.3">
      <c r="A38" s="107" t="s">
        <v>61</v>
      </c>
      <c r="B38" s="341" t="s">
        <v>62</v>
      </c>
      <c r="C38" s="342"/>
      <c r="D38" s="343"/>
      <c r="E38" s="68">
        <f>+E39+E45</f>
        <v>498087.62</v>
      </c>
      <c r="F38" s="68">
        <f>+E38/$F$4</f>
        <v>66107.58776295706</v>
      </c>
      <c r="G38" s="74">
        <f>+G39+G44</f>
        <v>517100</v>
      </c>
      <c r="H38" s="117">
        <f t="shared" si="2"/>
        <v>68630.964231203136</v>
      </c>
      <c r="I38" s="136">
        <f>+J38*F4</f>
        <v>429993.91500000004</v>
      </c>
      <c r="J38" s="70">
        <f>+J39</f>
        <v>57070</v>
      </c>
      <c r="K38" s="70">
        <f>+J38</f>
        <v>57070</v>
      </c>
      <c r="L38" s="70">
        <f>+K38</f>
        <v>57070</v>
      </c>
    </row>
    <row r="39" spans="1:12" x14ac:dyDescent="0.3">
      <c r="A39" s="58" t="s">
        <v>89</v>
      </c>
      <c r="B39" s="347" t="s">
        <v>83</v>
      </c>
      <c r="C39" s="348"/>
      <c r="D39" s="349"/>
      <c r="E39" s="77">
        <f>+E40</f>
        <v>398062.62</v>
      </c>
      <c r="F39" s="77">
        <f t="shared" ref="F39:F43" si="10">+E39/$F$4</f>
        <v>52831.988851284092</v>
      </c>
      <c r="G39" s="78">
        <f>+G40</f>
        <v>383600</v>
      </c>
      <c r="H39" s="115">
        <f t="shared" si="2"/>
        <v>50912.469307850552</v>
      </c>
      <c r="I39" s="140">
        <f>+J39*$F$4</f>
        <v>429993.91500000004</v>
      </c>
      <c r="J39" s="79">
        <f>+J40</f>
        <v>57070</v>
      </c>
      <c r="K39" s="79">
        <f t="shared" ref="K39:L46" si="11">+J39</f>
        <v>57070</v>
      </c>
      <c r="L39" s="79">
        <f>+K39</f>
        <v>57070</v>
      </c>
    </row>
    <row r="40" spans="1:12" x14ac:dyDescent="0.3">
      <c r="A40" s="106">
        <v>3</v>
      </c>
      <c r="B40" s="350" t="s">
        <v>22</v>
      </c>
      <c r="C40" s="351"/>
      <c r="D40" s="352"/>
      <c r="E40" s="9">
        <f>+E41+E42+E43</f>
        <v>398062.62</v>
      </c>
      <c r="F40" s="9">
        <f t="shared" si="10"/>
        <v>52831.988851284092</v>
      </c>
      <c r="G40" s="47">
        <f>+G41+G42+G43</f>
        <v>383600</v>
      </c>
      <c r="H40" s="117">
        <f t="shared" si="2"/>
        <v>50912.469307850552</v>
      </c>
      <c r="I40" s="136">
        <f t="shared" ref="I40:I43" si="12">+J40*$F$4</f>
        <v>429993.91500000004</v>
      </c>
      <c r="J40" s="70">
        <f>+J41+J42+J43</f>
        <v>57070</v>
      </c>
      <c r="K40" s="70">
        <f t="shared" si="11"/>
        <v>57070</v>
      </c>
      <c r="L40" s="70">
        <f>+K40</f>
        <v>57070</v>
      </c>
    </row>
    <row r="41" spans="1:12" x14ac:dyDescent="0.3">
      <c r="A41" s="50">
        <v>31</v>
      </c>
      <c r="B41" s="332" t="s">
        <v>25</v>
      </c>
      <c r="C41" s="333"/>
      <c r="D41" s="334"/>
      <c r="E41" s="9">
        <v>309312.62</v>
      </c>
      <c r="F41" s="9">
        <f t="shared" si="10"/>
        <v>41052.839604486027</v>
      </c>
      <c r="G41" s="47">
        <v>294600</v>
      </c>
      <c r="H41" s="117">
        <f t="shared" si="2"/>
        <v>39100.139358948836</v>
      </c>
      <c r="I41" s="136">
        <f t="shared" si="12"/>
        <v>285406.86000000004</v>
      </c>
      <c r="J41" s="70">
        <v>37880</v>
      </c>
      <c r="K41" s="70">
        <f t="shared" si="11"/>
        <v>37880</v>
      </c>
      <c r="L41" s="70">
        <f t="shared" si="11"/>
        <v>37880</v>
      </c>
    </row>
    <row r="42" spans="1:12" x14ac:dyDescent="0.3">
      <c r="A42" s="50">
        <v>32</v>
      </c>
      <c r="B42" s="332" t="s">
        <v>35</v>
      </c>
      <c r="C42" s="333"/>
      <c r="D42" s="334"/>
      <c r="E42" s="9">
        <v>8750</v>
      </c>
      <c r="F42" s="9">
        <f t="shared" si="10"/>
        <v>1161.324573627978</v>
      </c>
      <c r="G42" s="47">
        <v>9000</v>
      </c>
      <c r="H42" s="117">
        <f t="shared" si="2"/>
        <v>1194.5052757316344</v>
      </c>
      <c r="I42" s="136">
        <f t="shared" si="12"/>
        <v>8966.0550000000003</v>
      </c>
      <c r="J42" s="70">
        <v>1190</v>
      </c>
      <c r="K42" s="70">
        <f t="shared" si="11"/>
        <v>1190</v>
      </c>
      <c r="L42" s="70">
        <f t="shared" si="11"/>
        <v>1190</v>
      </c>
    </row>
    <row r="43" spans="1:12" x14ac:dyDescent="0.3">
      <c r="A43" s="50">
        <v>37</v>
      </c>
      <c r="B43" s="332" t="s">
        <v>60</v>
      </c>
      <c r="C43" s="333"/>
      <c r="D43" s="334"/>
      <c r="E43" s="9">
        <v>80000</v>
      </c>
      <c r="F43" s="9">
        <f t="shared" si="10"/>
        <v>10617.824673170084</v>
      </c>
      <c r="G43" s="47">
        <v>80000</v>
      </c>
      <c r="H43" s="117">
        <f t="shared" si="2"/>
        <v>10617.824673170084</v>
      </c>
      <c r="I43" s="136">
        <f t="shared" si="12"/>
        <v>135621</v>
      </c>
      <c r="J43" s="70">
        <v>18000</v>
      </c>
      <c r="K43" s="70">
        <f t="shared" si="11"/>
        <v>18000</v>
      </c>
      <c r="L43" s="70">
        <f t="shared" si="11"/>
        <v>18000</v>
      </c>
    </row>
    <row r="44" spans="1:12" x14ac:dyDescent="0.3">
      <c r="A44" s="61" t="s">
        <v>90</v>
      </c>
      <c r="B44" s="357" t="s">
        <v>84</v>
      </c>
      <c r="C44" s="358"/>
      <c r="D44" s="359"/>
      <c r="E44" s="89">
        <f>+E45</f>
        <v>100025</v>
      </c>
      <c r="F44" s="89">
        <f>+F45</f>
        <v>13275.598911672971</v>
      </c>
      <c r="G44" s="90">
        <v>133500</v>
      </c>
      <c r="H44" s="116">
        <f t="shared" si="2"/>
        <v>17718.494923352577</v>
      </c>
      <c r="I44" s="141">
        <f>+J44*7.5345</f>
        <v>135621</v>
      </c>
      <c r="J44" s="91">
        <f>+J45</f>
        <v>18000</v>
      </c>
      <c r="K44" s="91">
        <f t="shared" si="11"/>
        <v>18000</v>
      </c>
      <c r="L44" s="91">
        <f t="shared" ref="L44" si="13">+L45</f>
        <v>20602</v>
      </c>
    </row>
    <row r="45" spans="1:12" x14ac:dyDescent="0.3">
      <c r="A45" s="57">
        <v>37</v>
      </c>
      <c r="B45" s="332" t="s">
        <v>60</v>
      </c>
      <c r="C45" s="333"/>
      <c r="D45" s="334"/>
      <c r="E45" s="9">
        <v>100025</v>
      </c>
      <c r="F45" s="9">
        <f>+E45/F4</f>
        <v>13275.598911672971</v>
      </c>
      <c r="G45" s="47">
        <v>133500</v>
      </c>
      <c r="H45" s="117">
        <f t="shared" si="2"/>
        <v>17718.494923352577</v>
      </c>
      <c r="I45" s="136">
        <f>+I44</f>
        <v>135621</v>
      </c>
      <c r="J45" s="70">
        <v>18000</v>
      </c>
      <c r="K45" s="70">
        <f t="shared" si="11"/>
        <v>18000</v>
      </c>
      <c r="L45" s="10">
        <v>20602</v>
      </c>
    </row>
    <row r="46" spans="1:12" ht="23.4" customHeight="1" x14ac:dyDescent="0.3">
      <c r="A46" s="107" t="s">
        <v>63</v>
      </c>
      <c r="B46" s="341" t="s">
        <v>64</v>
      </c>
      <c r="C46" s="342"/>
      <c r="D46" s="343"/>
      <c r="E46" s="68">
        <f t="shared" ref="E46:G47" si="14">+E47</f>
        <v>147811.26</v>
      </c>
      <c r="F46" s="68">
        <f t="shared" si="14"/>
        <v>19617.925542504479</v>
      </c>
      <c r="G46" s="74">
        <f t="shared" si="14"/>
        <v>165200</v>
      </c>
      <c r="H46" s="117">
        <f t="shared" si="2"/>
        <v>21925.807950096223</v>
      </c>
      <c r="I46" s="136">
        <f>+J46*$F$4</f>
        <v>170000.9235</v>
      </c>
      <c r="J46" s="70">
        <f>+J47</f>
        <v>22563</v>
      </c>
      <c r="K46" s="70">
        <f t="shared" si="11"/>
        <v>22563</v>
      </c>
      <c r="L46" s="70">
        <f t="shared" ref="L46" si="15">+L47</f>
        <v>22563</v>
      </c>
    </row>
    <row r="47" spans="1:12" x14ac:dyDescent="0.3">
      <c r="A47" s="58" t="s">
        <v>89</v>
      </c>
      <c r="B47" s="347" t="s">
        <v>83</v>
      </c>
      <c r="C47" s="348"/>
      <c r="D47" s="349"/>
      <c r="E47" s="77">
        <f t="shared" si="14"/>
        <v>147811.26</v>
      </c>
      <c r="F47" s="77">
        <f t="shared" si="14"/>
        <v>19617.925542504479</v>
      </c>
      <c r="G47" s="78">
        <f t="shared" si="14"/>
        <v>165200</v>
      </c>
      <c r="H47" s="115">
        <f t="shared" si="2"/>
        <v>21925.807950096223</v>
      </c>
      <c r="I47" s="140">
        <f t="shared" ref="I47:I50" si="16">+J47*$F$4</f>
        <v>170000.9235</v>
      </c>
      <c r="J47" s="79">
        <f>+J48</f>
        <v>22563</v>
      </c>
      <c r="K47" s="79">
        <f>+J47</f>
        <v>22563</v>
      </c>
      <c r="L47" s="79">
        <f>+J47</f>
        <v>22563</v>
      </c>
    </row>
    <row r="48" spans="1:12" x14ac:dyDescent="0.3">
      <c r="A48" s="50">
        <v>3</v>
      </c>
      <c r="B48" s="332" t="s">
        <v>22</v>
      </c>
      <c r="C48" s="333"/>
      <c r="D48" s="334"/>
      <c r="E48" s="9">
        <v>147811.26</v>
      </c>
      <c r="F48" s="9">
        <f>+E48/$F$4</f>
        <v>19617.925542504479</v>
      </c>
      <c r="G48" s="47">
        <f>+G49+G50</f>
        <v>165200</v>
      </c>
      <c r="H48" s="117">
        <f t="shared" si="2"/>
        <v>21925.807950096223</v>
      </c>
      <c r="I48" s="136">
        <f t="shared" si="16"/>
        <v>170000.9235</v>
      </c>
      <c r="J48" s="70">
        <f>+J49+J50</f>
        <v>22563</v>
      </c>
      <c r="K48" s="70">
        <f>+J48</f>
        <v>22563</v>
      </c>
      <c r="L48" s="10">
        <f>+K48</f>
        <v>22563</v>
      </c>
    </row>
    <row r="49" spans="1:12" x14ac:dyDescent="0.3">
      <c r="A49" s="50">
        <v>31</v>
      </c>
      <c r="B49" s="332" t="s">
        <v>25</v>
      </c>
      <c r="C49" s="333"/>
      <c r="D49" s="334"/>
      <c r="E49" s="9">
        <v>143561.26</v>
      </c>
      <c r="F49" s="9">
        <f t="shared" ref="F49:F50" si="17">+E49/$F$4</f>
        <v>19053.853606742319</v>
      </c>
      <c r="G49" s="47">
        <v>152600</v>
      </c>
      <c r="H49" s="117">
        <f t="shared" si="2"/>
        <v>20253.500564071936</v>
      </c>
      <c r="I49" s="136">
        <f t="shared" si="16"/>
        <v>154555.1985</v>
      </c>
      <c r="J49" s="70">
        <v>20513</v>
      </c>
      <c r="K49" s="70">
        <f t="shared" ref="K49:L50" si="18">+J49</f>
        <v>20513</v>
      </c>
      <c r="L49" s="10">
        <f t="shared" si="18"/>
        <v>20513</v>
      </c>
    </row>
    <row r="50" spans="1:12" x14ac:dyDescent="0.3">
      <c r="A50" s="50">
        <v>32</v>
      </c>
      <c r="B50" s="332" t="s">
        <v>35</v>
      </c>
      <c r="C50" s="333"/>
      <c r="D50" s="334"/>
      <c r="E50" s="9">
        <v>4250</v>
      </c>
      <c r="F50" s="9">
        <f t="shared" si="17"/>
        <v>564.07193576216071</v>
      </c>
      <c r="G50" s="47">
        <v>12600</v>
      </c>
      <c r="H50" s="117">
        <f t="shared" si="2"/>
        <v>1672.3073860242882</v>
      </c>
      <c r="I50" s="136">
        <f t="shared" si="16"/>
        <v>15445.725</v>
      </c>
      <c r="J50" s="70">
        <v>2050</v>
      </c>
      <c r="K50" s="70">
        <f t="shared" si="18"/>
        <v>2050</v>
      </c>
      <c r="L50" s="10">
        <f t="shared" si="18"/>
        <v>2050</v>
      </c>
    </row>
    <row r="51" spans="1:12" ht="25.2" customHeight="1" x14ac:dyDescent="0.3">
      <c r="A51" s="51" t="s">
        <v>65</v>
      </c>
      <c r="B51" s="326" t="s">
        <v>66</v>
      </c>
      <c r="C51" s="327"/>
      <c r="D51" s="328"/>
      <c r="E51" s="68">
        <f>+E52+E61</f>
        <v>165157</v>
      </c>
      <c r="F51" s="68">
        <f>+F52+F61</f>
        <v>21920.100869334394</v>
      </c>
      <c r="G51" s="74">
        <f>+G53+G61</f>
        <v>241500</v>
      </c>
      <c r="H51" s="117">
        <f t="shared" si="2"/>
        <v>32052.558232132189</v>
      </c>
      <c r="I51" s="136">
        <f>+J51*$F$4</f>
        <v>314866.755</v>
      </c>
      <c r="J51" s="70">
        <f>+J52+J61</f>
        <v>41790</v>
      </c>
      <c r="K51" s="70">
        <f t="shared" ref="K51:L53" si="19">+J51</f>
        <v>41790</v>
      </c>
      <c r="L51" s="70">
        <f t="shared" si="19"/>
        <v>41790</v>
      </c>
    </row>
    <row r="52" spans="1:12" x14ac:dyDescent="0.3">
      <c r="A52" s="58" t="s">
        <v>89</v>
      </c>
      <c r="B52" s="347" t="s">
        <v>83</v>
      </c>
      <c r="C52" s="348"/>
      <c r="D52" s="349"/>
      <c r="E52" s="77">
        <f>+E55</f>
        <v>250</v>
      </c>
      <c r="F52" s="77">
        <f>+F55</f>
        <v>33.180702103656515</v>
      </c>
      <c r="G52" s="78">
        <f>+G53</f>
        <v>70500</v>
      </c>
      <c r="H52" s="115">
        <f t="shared" si="2"/>
        <v>9356.9579932311372</v>
      </c>
      <c r="I52" s="140">
        <f>+I53</f>
        <v>134867.55000000002</v>
      </c>
      <c r="J52" s="79">
        <f>+J53</f>
        <v>17900</v>
      </c>
      <c r="K52" s="79">
        <f t="shared" si="19"/>
        <v>17900</v>
      </c>
      <c r="L52" s="79">
        <f t="shared" si="19"/>
        <v>17900</v>
      </c>
    </row>
    <row r="53" spans="1:12" x14ac:dyDescent="0.3">
      <c r="A53" s="50">
        <v>3</v>
      </c>
      <c r="B53" s="332" t="s">
        <v>22</v>
      </c>
      <c r="C53" s="333"/>
      <c r="D53" s="334"/>
      <c r="E53" s="9">
        <f>+E55</f>
        <v>250</v>
      </c>
      <c r="F53" s="9">
        <f>+F55</f>
        <v>33.180702103656515</v>
      </c>
      <c r="G53" s="74">
        <f>+G54+G55</f>
        <v>70500</v>
      </c>
      <c r="H53" s="117">
        <f t="shared" si="2"/>
        <v>9356.9579932311372</v>
      </c>
      <c r="I53" s="136">
        <f>+J53*$F$4</f>
        <v>134867.55000000002</v>
      </c>
      <c r="J53" s="70">
        <f>+J54+J55</f>
        <v>17900</v>
      </c>
      <c r="K53" s="70">
        <f t="shared" si="19"/>
        <v>17900</v>
      </c>
      <c r="L53" s="10">
        <f t="shared" si="19"/>
        <v>17900</v>
      </c>
    </row>
    <row r="54" spans="1:12" x14ac:dyDescent="0.3">
      <c r="A54" s="50">
        <v>31</v>
      </c>
      <c r="B54" s="332" t="s">
        <v>25</v>
      </c>
      <c r="C54" s="333"/>
      <c r="D54" s="334"/>
      <c r="E54" s="9"/>
      <c r="F54" s="9"/>
      <c r="G54" s="47">
        <v>68000</v>
      </c>
      <c r="H54" s="117">
        <f t="shared" si="2"/>
        <v>9025.1509721945713</v>
      </c>
      <c r="I54" s="136">
        <f t="shared" ref="I54:I55" si="20">+J54*$F$4</f>
        <v>131853.75</v>
      </c>
      <c r="J54" s="70">
        <v>17500</v>
      </c>
      <c r="K54" s="70">
        <f t="shared" ref="K54:L55" si="21">+J54</f>
        <v>17500</v>
      </c>
      <c r="L54" s="10">
        <f t="shared" si="21"/>
        <v>17500</v>
      </c>
    </row>
    <row r="55" spans="1:12" x14ac:dyDescent="0.3">
      <c r="A55" s="50">
        <v>32</v>
      </c>
      <c r="B55" s="332" t="s">
        <v>35</v>
      </c>
      <c r="C55" s="333"/>
      <c r="D55" s="334"/>
      <c r="E55" s="9">
        <v>250</v>
      </c>
      <c r="F55" s="9">
        <f>+E55/F4</f>
        <v>33.180702103656515</v>
      </c>
      <c r="G55" s="47">
        <v>2500</v>
      </c>
      <c r="H55" s="117">
        <f t="shared" si="2"/>
        <v>331.80702103656512</v>
      </c>
      <c r="I55" s="136">
        <f t="shared" si="20"/>
        <v>3013.8</v>
      </c>
      <c r="J55" s="70">
        <v>400</v>
      </c>
      <c r="K55" s="70">
        <f t="shared" si="21"/>
        <v>400</v>
      </c>
      <c r="L55" s="10">
        <f t="shared" si="21"/>
        <v>400</v>
      </c>
    </row>
    <row r="56" spans="1:12" s="265" customFormat="1" x14ac:dyDescent="0.3">
      <c r="A56" s="276" t="s">
        <v>188</v>
      </c>
      <c r="B56" s="400" t="s">
        <v>187</v>
      </c>
      <c r="C56" s="401"/>
      <c r="D56" s="402"/>
      <c r="E56" s="9"/>
      <c r="F56" s="9"/>
      <c r="G56" s="47"/>
      <c r="H56" s="117"/>
      <c r="I56" s="136"/>
      <c r="J56" s="70"/>
      <c r="K56" s="70"/>
      <c r="L56" s="10"/>
    </row>
    <row r="57" spans="1:12" s="147" customFormat="1" ht="17.399999999999999" customHeight="1" x14ac:dyDescent="0.3">
      <c r="A57" s="267" t="s">
        <v>89</v>
      </c>
      <c r="B57" s="397" t="s">
        <v>83</v>
      </c>
      <c r="C57" s="398"/>
      <c r="D57" s="399"/>
      <c r="E57" s="274">
        <f>+E58</f>
        <v>254500</v>
      </c>
      <c r="F57" s="268">
        <f>+F58</f>
        <v>33777.954741522328</v>
      </c>
      <c r="G57" s="269">
        <v>0</v>
      </c>
      <c r="H57" s="270">
        <v>0</v>
      </c>
      <c r="I57" s="271"/>
      <c r="J57" s="272"/>
      <c r="K57" s="272"/>
      <c r="L57" s="273"/>
    </row>
    <row r="58" spans="1:12" s="147" customFormat="1" x14ac:dyDescent="0.3">
      <c r="A58" s="50">
        <v>3</v>
      </c>
      <c r="B58" s="332" t="s">
        <v>22</v>
      </c>
      <c r="C58" s="333"/>
      <c r="D58" s="334"/>
      <c r="E58" s="9">
        <f>+E59</f>
        <v>254500</v>
      </c>
      <c r="F58" s="9">
        <f>+F59</f>
        <v>33777.954741522328</v>
      </c>
      <c r="G58" s="47"/>
      <c r="H58" s="117"/>
      <c r="I58" s="136"/>
      <c r="J58" s="70"/>
      <c r="K58" s="70"/>
      <c r="L58" s="10"/>
    </row>
    <row r="59" spans="1:12" s="147" customFormat="1" x14ac:dyDescent="0.3">
      <c r="A59" s="50">
        <v>32</v>
      </c>
      <c r="B59" s="332" t="s">
        <v>35</v>
      </c>
      <c r="C59" s="333"/>
      <c r="D59" s="334"/>
      <c r="E59" s="9">
        <v>254500</v>
      </c>
      <c r="F59" s="9">
        <f>+E59/7.5345</f>
        <v>33777.954741522328</v>
      </c>
      <c r="G59" s="47"/>
      <c r="H59" s="117"/>
      <c r="I59" s="136"/>
      <c r="J59" s="70"/>
      <c r="K59" s="70"/>
      <c r="L59" s="10"/>
    </row>
    <row r="60" spans="1:12" s="147" customFormat="1" x14ac:dyDescent="0.3">
      <c r="A60" s="50"/>
      <c r="B60" s="120"/>
      <c r="C60" s="121"/>
      <c r="D60" s="122"/>
      <c r="E60" s="9"/>
      <c r="F60" s="9"/>
      <c r="G60" s="47"/>
      <c r="H60" s="117"/>
      <c r="I60" s="136"/>
      <c r="J60" s="70"/>
      <c r="K60" s="70"/>
      <c r="L60" s="10"/>
    </row>
    <row r="61" spans="1:12" x14ac:dyDescent="0.3">
      <c r="A61" s="97" t="s">
        <v>91</v>
      </c>
      <c r="B61" s="335" t="s">
        <v>85</v>
      </c>
      <c r="C61" s="336"/>
      <c r="D61" s="337"/>
      <c r="E61" s="92">
        <f>+E63+E64</f>
        <v>164907</v>
      </c>
      <c r="F61" s="92">
        <f>+F63+F64</f>
        <v>21886.920167230739</v>
      </c>
      <c r="G61" s="93">
        <f>+G63+G64</f>
        <v>171000</v>
      </c>
      <c r="H61" s="118">
        <f t="shared" si="2"/>
        <v>22695.600238901054</v>
      </c>
      <c r="I61" s="142">
        <f>+J61*F4</f>
        <v>179999.20500000002</v>
      </c>
      <c r="J61" s="94">
        <f>+J62</f>
        <v>23890</v>
      </c>
      <c r="K61" s="94">
        <f t="shared" ref="K61" si="22">+K62</f>
        <v>29010</v>
      </c>
      <c r="L61" s="94">
        <f t="shared" ref="L61" si="23">+L62</f>
        <v>29010</v>
      </c>
    </row>
    <row r="62" spans="1:12" x14ac:dyDescent="0.3">
      <c r="A62" s="63">
        <v>3</v>
      </c>
      <c r="B62" s="379" t="s">
        <v>22</v>
      </c>
      <c r="C62" s="380"/>
      <c r="D62" s="381"/>
      <c r="E62" s="68"/>
      <c r="F62" s="68"/>
      <c r="G62" s="74"/>
      <c r="H62" s="117"/>
      <c r="I62" s="136">
        <f>+J62*7.5345</f>
        <v>179999.20500000002</v>
      </c>
      <c r="J62" s="70">
        <f>+J63+J64</f>
        <v>23890</v>
      </c>
      <c r="K62" s="70">
        <f t="shared" ref="K62" si="24">+K63+K64</f>
        <v>29010</v>
      </c>
      <c r="L62" s="70">
        <f t="shared" ref="L62" si="25">+L63+L64</f>
        <v>29010</v>
      </c>
    </row>
    <row r="63" spans="1:12" x14ac:dyDescent="0.3">
      <c r="A63" s="63">
        <v>31</v>
      </c>
      <c r="B63" s="338" t="s">
        <v>92</v>
      </c>
      <c r="C63" s="339"/>
      <c r="D63" s="340"/>
      <c r="E63" s="9">
        <v>160407</v>
      </c>
      <c r="F63" s="9">
        <f>+E63/7.5345</f>
        <v>21289.66752936492</v>
      </c>
      <c r="G63" s="47">
        <v>166500</v>
      </c>
      <c r="H63" s="117">
        <f t="shared" si="2"/>
        <v>22098.347601035235</v>
      </c>
      <c r="I63" s="136">
        <f>+J63*7.5345</f>
        <v>168170.04</v>
      </c>
      <c r="J63" s="70">
        <v>22320</v>
      </c>
      <c r="K63" s="70">
        <f t="shared" ref="K63" si="26">21300+1200+800+140+4000</f>
        <v>27440</v>
      </c>
      <c r="L63" s="10">
        <f t="shared" ref="L63" si="27">21300+1200+800+140+4000</f>
        <v>27440</v>
      </c>
    </row>
    <row r="64" spans="1:12" x14ac:dyDescent="0.3">
      <c r="A64" s="63">
        <v>32</v>
      </c>
      <c r="B64" s="338" t="s">
        <v>35</v>
      </c>
      <c r="C64" s="339"/>
      <c r="D64" s="340"/>
      <c r="E64" s="9">
        <v>4500</v>
      </c>
      <c r="F64" s="9">
        <f>+E64/7.5345</f>
        <v>597.25263786581718</v>
      </c>
      <c r="G64" s="47">
        <v>4500</v>
      </c>
      <c r="H64" s="117">
        <f t="shared" si="2"/>
        <v>597.25263786581718</v>
      </c>
      <c r="I64" s="136">
        <f>+J64*7.5345</f>
        <v>11829.165000000001</v>
      </c>
      <c r="J64" s="70">
        <f>1350+220</f>
        <v>1570</v>
      </c>
      <c r="K64" s="70">
        <f t="shared" ref="K64" si="28">1350+220</f>
        <v>1570</v>
      </c>
      <c r="L64" s="10">
        <f t="shared" ref="L64" si="29">1350+220</f>
        <v>1570</v>
      </c>
    </row>
    <row r="65" spans="1:12" ht="25.2" customHeight="1" x14ac:dyDescent="0.3">
      <c r="A65" s="54" t="s">
        <v>67</v>
      </c>
      <c r="B65" s="326" t="s">
        <v>68</v>
      </c>
      <c r="C65" s="327"/>
      <c r="D65" s="328"/>
      <c r="E65" s="9">
        <f>+E66</f>
        <v>141764.57</v>
      </c>
      <c r="F65" s="9">
        <f>+F66</f>
        <v>18815.391864091845</v>
      </c>
      <c r="G65" s="74">
        <f>+G66</f>
        <v>148000</v>
      </c>
      <c r="H65" s="117">
        <f t="shared" si="2"/>
        <v>19642.975645364655</v>
      </c>
      <c r="I65" s="136"/>
      <c r="J65" s="70"/>
      <c r="K65" s="70"/>
      <c r="L65" s="10"/>
    </row>
    <row r="66" spans="1:12" x14ac:dyDescent="0.3">
      <c r="A66" s="64" t="s">
        <v>90</v>
      </c>
      <c r="B66" s="357" t="s">
        <v>84</v>
      </c>
      <c r="C66" s="358"/>
      <c r="D66" s="359"/>
      <c r="E66" s="89">
        <f>+E67</f>
        <v>141764.57</v>
      </c>
      <c r="F66" s="89">
        <f>+E66/7.5345</f>
        <v>18815.391864091845</v>
      </c>
      <c r="G66" s="90">
        <v>148000</v>
      </c>
      <c r="H66" s="116">
        <f t="shared" si="2"/>
        <v>19642.975645364655</v>
      </c>
      <c r="I66" s="141">
        <f>+I67</f>
        <v>143155.5</v>
      </c>
      <c r="J66" s="91">
        <v>19000</v>
      </c>
      <c r="K66" s="91">
        <f>+J66</f>
        <v>19000</v>
      </c>
      <c r="L66" s="91">
        <f>+K66</f>
        <v>19000</v>
      </c>
    </row>
    <row r="67" spans="1:12" x14ac:dyDescent="0.3">
      <c r="A67" s="50">
        <v>4</v>
      </c>
      <c r="B67" s="332" t="s">
        <v>26</v>
      </c>
      <c r="C67" s="333"/>
      <c r="D67" s="334"/>
      <c r="E67" s="9">
        <f>+E68</f>
        <v>141764.57</v>
      </c>
      <c r="F67" s="9">
        <f t="shared" ref="F67:F68" si="30">+E67/7.5345</f>
        <v>18815.391864091845</v>
      </c>
      <c r="G67" s="47">
        <v>148000</v>
      </c>
      <c r="H67" s="117">
        <f t="shared" si="2"/>
        <v>19642.975645364655</v>
      </c>
      <c r="I67" s="136">
        <f>+J67*7.5345</f>
        <v>143155.5</v>
      </c>
      <c r="J67" s="70">
        <f>+J66</f>
        <v>19000</v>
      </c>
      <c r="K67" s="36">
        <f t="shared" ref="K67:K68" si="31">+J67</f>
        <v>19000</v>
      </c>
      <c r="L67" s="10">
        <f>+K67</f>
        <v>19000</v>
      </c>
    </row>
    <row r="68" spans="1:12" x14ac:dyDescent="0.3">
      <c r="A68" s="50">
        <v>42</v>
      </c>
      <c r="B68" s="332" t="s">
        <v>69</v>
      </c>
      <c r="C68" s="333"/>
      <c r="D68" s="334"/>
      <c r="E68" s="9">
        <v>141764.57</v>
      </c>
      <c r="F68" s="9">
        <f t="shared" si="30"/>
        <v>18815.391864091845</v>
      </c>
      <c r="G68" s="47">
        <v>148000</v>
      </c>
      <c r="H68" s="117">
        <f t="shared" si="2"/>
        <v>19642.975645364655</v>
      </c>
      <c r="I68" s="136">
        <f>+I67</f>
        <v>143155.5</v>
      </c>
      <c r="J68" s="70">
        <f>+J67</f>
        <v>19000</v>
      </c>
      <c r="K68" s="36">
        <f t="shared" si="31"/>
        <v>19000</v>
      </c>
      <c r="L68" s="10">
        <f>+K68</f>
        <v>19000</v>
      </c>
    </row>
    <row r="69" spans="1:12" ht="26.4" customHeight="1" x14ac:dyDescent="0.3">
      <c r="A69" s="51" t="s">
        <v>70</v>
      </c>
      <c r="B69" s="326" t="s">
        <v>71</v>
      </c>
      <c r="C69" s="327"/>
      <c r="D69" s="328"/>
      <c r="E69" s="68">
        <f>+E70+E73</f>
        <v>14200</v>
      </c>
      <c r="F69" s="68">
        <f>+E69/7.5345</f>
        <v>1884.6638794876899</v>
      </c>
      <c r="G69" s="74">
        <v>15500</v>
      </c>
      <c r="H69" s="117">
        <f t="shared" si="2"/>
        <v>2057.2035304267038</v>
      </c>
      <c r="I69" s="136"/>
      <c r="J69" s="70"/>
      <c r="K69" s="70"/>
      <c r="L69" s="10"/>
    </row>
    <row r="70" spans="1:12" x14ac:dyDescent="0.3">
      <c r="A70" s="98" t="s">
        <v>91</v>
      </c>
      <c r="B70" s="391" t="s">
        <v>85</v>
      </c>
      <c r="C70" s="392"/>
      <c r="D70" s="393"/>
      <c r="E70" s="92">
        <v>12600</v>
      </c>
      <c r="F70" s="92">
        <f>+E70/7.5345</f>
        <v>1672.3073860242882</v>
      </c>
      <c r="G70" s="95">
        <f>+G69</f>
        <v>15500</v>
      </c>
      <c r="H70" s="118">
        <f t="shared" si="2"/>
        <v>2057.2035304267038</v>
      </c>
      <c r="I70" s="142">
        <f>+J70*7.5345</f>
        <v>12997.012500000001</v>
      </c>
      <c r="J70" s="94">
        <v>1725</v>
      </c>
      <c r="K70" s="94">
        <f>+J70</f>
        <v>1725</v>
      </c>
      <c r="L70" s="94">
        <v>1725</v>
      </c>
    </row>
    <row r="71" spans="1:12" x14ac:dyDescent="0.3">
      <c r="A71" s="50">
        <v>3</v>
      </c>
      <c r="B71" s="332" t="s">
        <v>22</v>
      </c>
      <c r="C71" s="333"/>
      <c r="D71" s="334"/>
      <c r="E71" s="9">
        <v>12600</v>
      </c>
      <c r="F71" s="9">
        <f t="shared" ref="F71:F73" si="32">+E71/7.5345</f>
        <v>1672.3073860242882</v>
      </c>
      <c r="G71" s="47">
        <f>+G70</f>
        <v>15500</v>
      </c>
      <c r="H71" s="117">
        <f t="shared" si="2"/>
        <v>2057.2035304267038</v>
      </c>
      <c r="I71" s="136">
        <f>+I70</f>
        <v>12997.012500000001</v>
      </c>
      <c r="J71" s="70">
        <f>+J70</f>
        <v>1725</v>
      </c>
      <c r="K71" s="70">
        <f>+J71</f>
        <v>1725</v>
      </c>
      <c r="L71" s="10">
        <f>+K71</f>
        <v>1725</v>
      </c>
    </row>
    <row r="72" spans="1:12" x14ac:dyDescent="0.3">
      <c r="A72" s="50">
        <v>32</v>
      </c>
      <c r="B72" s="332" t="s">
        <v>35</v>
      </c>
      <c r="C72" s="333"/>
      <c r="D72" s="334"/>
      <c r="E72" s="9">
        <v>12600</v>
      </c>
      <c r="F72" s="9">
        <f t="shared" si="32"/>
        <v>1672.3073860242882</v>
      </c>
      <c r="G72" s="47">
        <f>+G71</f>
        <v>15500</v>
      </c>
      <c r="H72" s="117">
        <f t="shared" si="2"/>
        <v>2057.2035304267038</v>
      </c>
      <c r="I72" s="136">
        <f>+I71</f>
        <v>12997.012500000001</v>
      </c>
      <c r="J72" s="70">
        <f>+J71</f>
        <v>1725</v>
      </c>
      <c r="K72" s="70">
        <f>+K71</f>
        <v>1725</v>
      </c>
      <c r="L72" s="10">
        <f>+K72</f>
        <v>1725</v>
      </c>
    </row>
    <row r="73" spans="1:12" x14ac:dyDescent="0.3">
      <c r="A73" s="99" t="s">
        <v>93</v>
      </c>
      <c r="B73" s="385" t="s">
        <v>85</v>
      </c>
      <c r="C73" s="386"/>
      <c r="D73" s="387"/>
      <c r="E73" s="100">
        <v>1600</v>
      </c>
      <c r="F73" s="100">
        <f t="shared" si="32"/>
        <v>212.35649346340168</v>
      </c>
      <c r="G73" s="95"/>
      <c r="H73" s="118">
        <f t="shared" si="2"/>
        <v>0</v>
      </c>
      <c r="I73" s="142"/>
      <c r="J73" s="94"/>
      <c r="K73" s="94"/>
      <c r="L73" s="96"/>
    </row>
    <row r="74" spans="1:12" x14ac:dyDescent="0.3">
      <c r="A74" s="69">
        <v>32</v>
      </c>
      <c r="B74" s="338" t="s">
        <v>35</v>
      </c>
      <c r="C74" s="339"/>
      <c r="D74" s="340"/>
      <c r="E74" s="9">
        <v>1600</v>
      </c>
      <c r="F74" s="9">
        <f>+E74/7.5345</f>
        <v>212.35649346340168</v>
      </c>
      <c r="G74" s="47"/>
      <c r="H74" s="117">
        <f t="shared" si="2"/>
        <v>0</v>
      </c>
      <c r="I74" s="136"/>
      <c r="J74" s="70"/>
      <c r="K74" s="70"/>
      <c r="L74" s="10"/>
    </row>
    <row r="75" spans="1:12" x14ac:dyDescent="0.3">
      <c r="A75" s="103">
        <v>8056</v>
      </c>
      <c r="B75" s="388" t="s">
        <v>75</v>
      </c>
      <c r="C75" s="389"/>
      <c r="D75" s="390"/>
      <c r="E75" s="9">
        <f>+E76</f>
        <v>44783.42</v>
      </c>
      <c r="F75" s="9">
        <f>+F76</f>
        <v>5943.7812728117324</v>
      </c>
      <c r="G75" s="47">
        <f>+G76</f>
        <v>45000</v>
      </c>
      <c r="H75" s="117">
        <f t="shared" si="2"/>
        <v>5972.5263786581718</v>
      </c>
      <c r="I75" s="136">
        <f>+I76</f>
        <v>44980.965000000004</v>
      </c>
      <c r="J75" s="70">
        <f>+J77</f>
        <v>5970</v>
      </c>
      <c r="K75" s="70">
        <f t="shared" ref="K75:L75" si="33">+K77</f>
        <v>5970</v>
      </c>
      <c r="L75" s="70">
        <f t="shared" si="33"/>
        <v>5970</v>
      </c>
    </row>
    <row r="76" spans="1:12" ht="28.8" customHeight="1" x14ac:dyDescent="0.3">
      <c r="A76" s="51" t="s">
        <v>76</v>
      </c>
      <c r="B76" s="326" t="s">
        <v>77</v>
      </c>
      <c r="C76" s="327"/>
      <c r="D76" s="328"/>
      <c r="E76" s="68">
        <f>+E77</f>
        <v>44783.42</v>
      </c>
      <c r="F76" s="68">
        <f>+F77</f>
        <v>5943.7812728117324</v>
      </c>
      <c r="G76" s="74">
        <v>45000</v>
      </c>
      <c r="H76" s="117">
        <f t="shared" si="2"/>
        <v>5972.5263786581718</v>
      </c>
      <c r="I76" s="136">
        <f>+I77</f>
        <v>44980.965000000004</v>
      </c>
      <c r="J76" s="70">
        <f>+J75</f>
        <v>5970</v>
      </c>
      <c r="K76" s="70">
        <f t="shared" ref="K76:L76" si="34">+K75</f>
        <v>5970</v>
      </c>
      <c r="L76" s="70">
        <f t="shared" si="34"/>
        <v>5970</v>
      </c>
    </row>
    <row r="77" spans="1:12" x14ac:dyDescent="0.3">
      <c r="A77" s="101" t="s">
        <v>86</v>
      </c>
      <c r="B77" s="382" t="s">
        <v>80</v>
      </c>
      <c r="C77" s="383"/>
      <c r="D77" s="384"/>
      <c r="E77" s="108">
        <v>44783.42</v>
      </c>
      <c r="F77" s="108">
        <f>E77/7.5345</f>
        <v>5943.7812728117324</v>
      </c>
      <c r="G77" s="109">
        <f>+G76</f>
        <v>45000</v>
      </c>
      <c r="H77" s="119">
        <f t="shared" si="2"/>
        <v>5972.5263786581718</v>
      </c>
      <c r="I77" s="143">
        <f>+J77*7.5345</f>
        <v>44980.965000000004</v>
      </c>
      <c r="J77" s="110">
        <f>+J78</f>
        <v>5970</v>
      </c>
      <c r="K77" s="110">
        <f t="shared" ref="K77:L79" si="35">+J77</f>
        <v>5970</v>
      </c>
      <c r="L77" s="110">
        <f t="shared" si="35"/>
        <v>5970</v>
      </c>
    </row>
    <row r="78" spans="1:12" x14ac:dyDescent="0.3">
      <c r="A78" s="50">
        <v>4</v>
      </c>
      <c r="B78" s="332" t="s">
        <v>26</v>
      </c>
      <c r="C78" s="333"/>
      <c r="D78" s="334"/>
      <c r="E78" s="9">
        <v>44783.42</v>
      </c>
      <c r="F78" s="9">
        <f t="shared" ref="F78:F79" si="36">E78/7.5345</f>
        <v>5943.7812728117324</v>
      </c>
      <c r="G78" s="47">
        <f t="shared" ref="G78:G79" si="37">+G77</f>
        <v>45000</v>
      </c>
      <c r="H78" s="117">
        <f t="shared" si="2"/>
        <v>5972.5263786581718</v>
      </c>
      <c r="I78" s="136">
        <f>+I77</f>
        <v>44980.965000000004</v>
      </c>
      <c r="J78" s="70">
        <v>5970</v>
      </c>
      <c r="K78" s="36">
        <f t="shared" si="35"/>
        <v>5970</v>
      </c>
      <c r="L78" s="36">
        <f t="shared" si="35"/>
        <v>5970</v>
      </c>
    </row>
    <row r="79" spans="1:12" x14ac:dyDescent="0.3">
      <c r="A79" s="50">
        <v>42</v>
      </c>
      <c r="B79" s="332" t="s">
        <v>69</v>
      </c>
      <c r="C79" s="333"/>
      <c r="D79" s="334"/>
      <c r="E79" s="9">
        <v>44783.42</v>
      </c>
      <c r="F79" s="9">
        <f t="shared" si="36"/>
        <v>5943.7812728117324</v>
      </c>
      <c r="G79" s="47">
        <f t="shared" si="37"/>
        <v>45000</v>
      </c>
      <c r="H79" s="117">
        <f t="shared" si="2"/>
        <v>5972.5263786581718</v>
      </c>
      <c r="I79" s="136">
        <f>+I78</f>
        <v>44980.965000000004</v>
      </c>
      <c r="J79" s="70">
        <v>5970</v>
      </c>
      <c r="K79" s="36">
        <f t="shared" si="35"/>
        <v>5970</v>
      </c>
      <c r="L79" s="36">
        <f t="shared" si="35"/>
        <v>5970</v>
      </c>
    </row>
    <row r="80" spans="1:12" ht="14.4" customHeight="1" x14ac:dyDescent="0.3">
      <c r="A80" s="103">
        <v>8057</v>
      </c>
      <c r="B80" s="388" t="s">
        <v>95</v>
      </c>
      <c r="C80" s="389"/>
      <c r="D80" s="390"/>
      <c r="E80" s="9">
        <f>+E81</f>
        <v>0</v>
      </c>
      <c r="F80" s="9">
        <f>+F81</f>
        <v>0</v>
      </c>
      <c r="G80" s="47">
        <f>+G82</f>
        <v>467500</v>
      </c>
      <c r="H80" s="117">
        <f t="shared" si="2"/>
        <v>62047.912933837673</v>
      </c>
      <c r="I80" s="136"/>
      <c r="J80" s="70"/>
      <c r="K80" s="70"/>
      <c r="L80" s="10"/>
    </row>
    <row r="81" spans="1:12" ht="31.8" customHeight="1" x14ac:dyDescent="0.3">
      <c r="A81" s="51" t="s">
        <v>96</v>
      </c>
      <c r="B81" s="326" t="s">
        <v>97</v>
      </c>
      <c r="C81" s="327"/>
      <c r="D81" s="328"/>
      <c r="E81" s="68">
        <f>+E82</f>
        <v>0</v>
      </c>
      <c r="F81" s="68">
        <f>+F82</f>
        <v>0</v>
      </c>
      <c r="G81" s="74"/>
      <c r="H81" s="117">
        <f t="shared" si="2"/>
        <v>0</v>
      </c>
      <c r="I81" s="136"/>
      <c r="J81" s="70"/>
      <c r="K81" s="70"/>
      <c r="L81" s="10"/>
    </row>
    <row r="82" spans="1:12" x14ac:dyDescent="0.3">
      <c r="A82" s="102" t="s">
        <v>90</v>
      </c>
      <c r="B82" s="357" t="s">
        <v>84</v>
      </c>
      <c r="C82" s="358"/>
      <c r="D82" s="359"/>
      <c r="E82" s="86"/>
      <c r="F82" s="86"/>
      <c r="G82" s="90">
        <v>467500</v>
      </c>
      <c r="H82" s="116">
        <f>+G82/7.5345</f>
        <v>62047.912933837673</v>
      </c>
      <c r="I82" s="141"/>
      <c r="J82" s="91"/>
      <c r="K82" s="91"/>
      <c r="L82" s="88"/>
    </row>
    <row r="83" spans="1:12" x14ac:dyDescent="0.3">
      <c r="A83" s="50">
        <v>4</v>
      </c>
      <c r="B83" s="332" t="s">
        <v>26</v>
      </c>
      <c r="C83" s="333"/>
      <c r="D83" s="334"/>
      <c r="E83" s="9"/>
      <c r="F83" s="9"/>
      <c r="G83" s="47">
        <f>+G82</f>
        <v>467500</v>
      </c>
      <c r="H83" s="117">
        <f t="shared" ref="H83:H84" si="38">+G83/7.5345</f>
        <v>62047.912933837673</v>
      </c>
      <c r="I83" s="136"/>
      <c r="J83" s="70"/>
      <c r="K83" s="70"/>
      <c r="L83" s="11"/>
    </row>
    <row r="84" spans="1:12" x14ac:dyDescent="0.3">
      <c r="A84" s="50">
        <v>45</v>
      </c>
      <c r="B84" s="332" t="s">
        <v>98</v>
      </c>
      <c r="C84" s="333"/>
      <c r="D84" s="334"/>
      <c r="E84" s="9"/>
      <c r="F84" s="9"/>
      <c r="G84" s="47">
        <f>+G83</f>
        <v>467500</v>
      </c>
      <c r="H84" s="117">
        <f t="shared" si="38"/>
        <v>62047.912933837673</v>
      </c>
      <c r="I84" s="136"/>
      <c r="J84" s="70"/>
      <c r="K84" s="70"/>
      <c r="L84" s="11"/>
    </row>
    <row r="86" spans="1:12" x14ac:dyDescent="0.3">
      <c r="G86" s="266">
        <f>+G77+G69+G61+G52+G47+G27+G9</f>
        <v>1092200</v>
      </c>
    </row>
    <row r="87" spans="1:12" x14ac:dyDescent="0.3">
      <c r="G87" s="266">
        <f>+G52+G47+G39+G27</f>
        <v>762300</v>
      </c>
    </row>
    <row r="88" spans="1:12" x14ac:dyDescent="0.3">
      <c r="G88" s="266">
        <f>+G69+G61</f>
        <v>186500</v>
      </c>
    </row>
  </sheetData>
  <mergeCells count="80">
    <mergeCell ref="B13:D13"/>
    <mergeCell ref="B14:D14"/>
    <mergeCell ref="B15:D15"/>
    <mergeCell ref="B68:D68"/>
    <mergeCell ref="B57:D57"/>
    <mergeCell ref="B56:D56"/>
    <mergeCell ref="B58:D58"/>
    <mergeCell ref="B59:D59"/>
    <mergeCell ref="B24:D24"/>
    <mergeCell ref="B39:D39"/>
    <mergeCell ref="B44:D44"/>
    <mergeCell ref="B45:D45"/>
    <mergeCell ref="B38:D38"/>
    <mergeCell ref="B31:D31"/>
    <mergeCell ref="B32:D32"/>
    <mergeCell ref="B33:D33"/>
    <mergeCell ref="B81:D81"/>
    <mergeCell ref="B82:D82"/>
    <mergeCell ref="B83:D83"/>
    <mergeCell ref="B84:D84"/>
    <mergeCell ref="B62:D62"/>
    <mergeCell ref="B77:D77"/>
    <mergeCell ref="B73:D73"/>
    <mergeCell ref="B74:D74"/>
    <mergeCell ref="B75:D75"/>
    <mergeCell ref="B76:D76"/>
    <mergeCell ref="B78:D78"/>
    <mergeCell ref="B79:D79"/>
    <mergeCell ref="B71:D71"/>
    <mergeCell ref="B72:D72"/>
    <mergeCell ref="B80:D80"/>
    <mergeCell ref="B70:D70"/>
    <mergeCell ref="B5:D5"/>
    <mergeCell ref="B9:D9"/>
    <mergeCell ref="B23:D23"/>
    <mergeCell ref="B27:D27"/>
    <mergeCell ref="B28:D28"/>
    <mergeCell ref="B7:D7"/>
    <mergeCell ref="B8:D8"/>
    <mergeCell ref="B10:D10"/>
    <mergeCell ref="B25:D25"/>
    <mergeCell ref="B26:D26"/>
    <mergeCell ref="B21:D21"/>
    <mergeCell ref="B22:D22"/>
    <mergeCell ref="B11:D11"/>
    <mergeCell ref="B17:D17"/>
    <mergeCell ref="B12:D12"/>
    <mergeCell ref="B16:D16"/>
    <mergeCell ref="B51:D51"/>
    <mergeCell ref="B53:D53"/>
    <mergeCell ref="B54:D54"/>
    <mergeCell ref="B67:D67"/>
    <mergeCell ref="B52:D52"/>
    <mergeCell ref="B64:D64"/>
    <mergeCell ref="B66:D66"/>
    <mergeCell ref="B29:D29"/>
    <mergeCell ref="B30:D30"/>
    <mergeCell ref="B47:D47"/>
    <mergeCell ref="B40:D40"/>
    <mergeCell ref="B41:D41"/>
    <mergeCell ref="B34:D34"/>
    <mergeCell ref="B35:D35"/>
    <mergeCell ref="B36:D36"/>
    <mergeCell ref="B37:D37"/>
    <mergeCell ref="A1:L1"/>
    <mergeCell ref="A3:L3"/>
    <mergeCell ref="B69:D69"/>
    <mergeCell ref="B18:D18"/>
    <mergeCell ref="B19:D19"/>
    <mergeCell ref="B20:D20"/>
    <mergeCell ref="B50:D50"/>
    <mergeCell ref="B61:D61"/>
    <mergeCell ref="B63:D63"/>
    <mergeCell ref="B55:D55"/>
    <mergeCell ref="B65:D65"/>
    <mergeCell ref="B48:D48"/>
    <mergeCell ref="B49:D49"/>
    <mergeCell ref="B42:D42"/>
    <mergeCell ref="B43:D43"/>
    <mergeCell ref="B46:D46"/>
  </mergeCells>
  <pageMargins left="0.7" right="0.7" top="0.75" bottom="0.75" header="0.3" footer="0.3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9362B-D0BF-4DBF-AFC4-E2DE36062F1C}">
  <dimension ref="A2:I13"/>
  <sheetViews>
    <sheetView topLeftCell="A4" workbookViewId="0">
      <selection activeCell="B30" sqref="B30"/>
    </sheetView>
  </sheetViews>
  <sheetFormatPr defaultRowHeight="14.4" x14ac:dyDescent="0.3"/>
  <cols>
    <col min="1" max="1" width="25.77734375" customWidth="1"/>
    <col min="2" max="2" width="25" customWidth="1"/>
    <col min="3" max="3" width="13.6640625" style="265" customWidth="1"/>
    <col min="4" max="4" width="15.21875" customWidth="1"/>
    <col min="5" max="5" width="15.21875" style="265" customWidth="1"/>
    <col min="6" max="6" width="15.33203125" customWidth="1"/>
    <col min="7" max="7" width="15.33203125" style="265" customWidth="1"/>
    <col min="8" max="8" width="17" customWidth="1"/>
    <col min="9" max="9" width="15.5546875" customWidth="1"/>
  </cols>
  <sheetData>
    <row r="2" spans="1:9" ht="15.6" x14ac:dyDescent="0.3">
      <c r="A2" s="300" t="s">
        <v>48</v>
      </c>
      <c r="B2" s="300"/>
      <c r="C2" s="300"/>
      <c r="D2" s="300"/>
      <c r="E2" s="300"/>
      <c r="F2" s="300"/>
      <c r="G2" s="300"/>
      <c r="H2" s="300"/>
      <c r="I2" s="300"/>
    </row>
    <row r="3" spans="1:9" ht="17.399999999999999" x14ac:dyDescent="0.3">
      <c r="A3" s="27"/>
      <c r="B3" s="27"/>
      <c r="C3" s="27"/>
      <c r="D3" s="27"/>
      <c r="E3" s="27"/>
      <c r="F3" s="27"/>
      <c r="G3" s="27"/>
      <c r="H3" s="27"/>
      <c r="I3" s="27"/>
    </row>
    <row r="4" spans="1:9" ht="15.6" x14ac:dyDescent="0.3">
      <c r="A4" s="300" t="s">
        <v>32</v>
      </c>
      <c r="B4" s="300"/>
      <c r="C4" s="300"/>
      <c r="D4" s="300"/>
      <c r="E4" s="300"/>
      <c r="F4" s="300"/>
      <c r="G4" s="300"/>
      <c r="H4" s="318"/>
      <c r="I4" s="318"/>
    </row>
    <row r="5" spans="1:9" ht="17.399999999999999" x14ac:dyDescent="0.3">
      <c r="A5" s="287">
        <v>7.5345000000000004</v>
      </c>
      <c r="B5" s="27"/>
      <c r="C5" s="27"/>
      <c r="D5" s="27"/>
      <c r="E5" s="27"/>
      <c r="F5" s="27"/>
      <c r="G5" s="27"/>
      <c r="H5" s="5"/>
      <c r="I5" s="5"/>
    </row>
    <row r="6" spans="1:9" ht="15.6" x14ac:dyDescent="0.3">
      <c r="A6" s="300" t="s">
        <v>15</v>
      </c>
      <c r="B6" s="301"/>
      <c r="C6" s="301"/>
      <c r="D6" s="301"/>
      <c r="E6" s="301"/>
      <c r="F6" s="301"/>
      <c r="G6" s="301"/>
      <c r="H6" s="301"/>
      <c r="I6" s="301"/>
    </row>
    <row r="7" spans="1:9" ht="17.399999999999999" x14ac:dyDescent="0.3">
      <c r="A7" s="27"/>
      <c r="B7" s="27"/>
      <c r="C7" s="27"/>
      <c r="D7" s="27"/>
      <c r="E7" s="27"/>
      <c r="F7" s="27"/>
      <c r="G7" s="27"/>
      <c r="H7" s="5"/>
      <c r="I7" s="5"/>
    </row>
    <row r="8" spans="1:9" ht="15.6" x14ac:dyDescent="0.3">
      <c r="A8" s="300" t="s">
        <v>28</v>
      </c>
      <c r="B8" s="322"/>
      <c r="C8" s="322"/>
      <c r="D8" s="322"/>
      <c r="E8" s="322"/>
      <c r="F8" s="322"/>
      <c r="G8" s="322"/>
      <c r="H8" s="322"/>
      <c r="I8" s="322"/>
    </row>
    <row r="9" spans="1:9" ht="17.399999999999999" x14ac:dyDescent="0.3">
      <c r="A9" s="27"/>
      <c r="B9" s="27"/>
      <c r="C9" s="27"/>
      <c r="D9" s="27"/>
      <c r="E9" s="27"/>
      <c r="F9" s="27"/>
      <c r="G9" s="27"/>
      <c r="H9" s="5"/>
      <c r="I9" s="5"/>
    </row>
    <row r="10" spans="1:9" ht="26.4" x14ac:dyDescent="0.3">
      <c r="A10" s="23" t="s">
        <v>29</v>
      </c>
      <c r="B10" s="22" t="s">
        <v>12</v>
      </c>
      <c r="C10" s="123" t="s">
        <v>52</v>
      </c>
      <c r="D10" s="23" t="s">
        <v>13</v>
      </c>
      <c r="E10" s="23" t="s">
        <v>52</v>
      </c>
      <c r="F10" s="23" t="s">
        <v>43</v>
      </c>
      <c r="G10" s="23" t="s">
        <v>52</v>
      </c>
      <c r="H10" s="23" t="s">
        <v>44</v>
      </c>
      <c r="I10" s="23" t="s">
        <v>45</v>
      </c>
    </row>
    <row r="11" spans="1:9" x14ac:dyDescent="0.3">
      <c r="A11" s="12" t="s">
        <v>30</v>
      </c>
      <c r="B11" s="9">
        <f t="shared" ref="B11:G12" si="0">+B12</f>
        <v>7429451</v>
      </c>
      <c r="C11" s="9">
        <f t="shared" si="0"/>
        <v>986057.60169885191</v>
      </c>
      <c r="D11" s="10">
        <f t="shared" si="0"/>
        <v>7918170</v>
      </c>
      <c r="E11" s="10">
        <f t="shared" si="0"/>
        <v>1050921.7599044396</v>
      </c>
      <c r="F11" s="10">
        <f t="shared" si="0"/>
        <v>7442700</v>
      </c>
      <c r="G11" s="10">
        <f t="shared" si="0"/>
        <v>987816.04618753726</v>
      </c>
      <c r="H11" s="10">
        <f t="shared" ref="H11:I13" si="1">+G11</f>
        <v>987816.04618753726</v>
      </c>
      <c r="I11" s="10">
        <f t="shared" si="1"/>
        <v>987816.04618753726</v>
      </c>
    </row>
    <row r="12" spans="1:9" x14ac:dyDescent="0.3">
      <c r="A12" s="12" t="s">
        <v>193</v>
      </c>
      <c r="B12" s="9">
        <f t="shared" si="0"/>
        <v>7429451</v>
      </c>
      <c r="C12" s="9">
        <f t="shared" si="0"/>
        <v>986057.60169885191</v>
      </c>
      <c r="D12" s="10">
        <f t="shared" si="0"/>
        <v>7918170</v>
      </c>
      <c r="E12" s="10">
        <f t="shared" si="0"/>
        <v>1050921.7599044396</v>
      </c>
      <c r="F12" s="10">
        <f t="shared" si="0"/>
        <v>7442700</v>
      </c>
      <c r="G12" s="10">
        <f t="shared" si="0"/>
        <v>987816.04618753726</v>
      </c>
      <c r="H12" s="10">
        <f t="shared" si="1"/>
        <v>987816.04618753726</v>
      </c>
      <c r="I12" s="10">
        <f t="shared" si="1"/>
        <v>987816.04618753726</v>
      </c>
    </row>
    <row r="13" spans="1:9" ht="26.4" x14ac:dyDescent="0.3">
      <c r="A13" s="18" t="s">
        <v>194</v>
      </c>
      <c r="B13" s="9">
        <v>7429451</v>
      </c>
      <c r="C13" s="9">
        <f>+B13/A5</f>
        <v>986057.60169885191</v>
      </c>
      <c r="D13" s="10">
        <v>7918170</v>
      </c>
      <c r="E13" s="10">
        <f>+D13/A5</f>
        <v>1050921.7599044396</v>
      </c>
      <c r="F13" s="10">
        <v>7442700</v>
      </c>
      <c r="G13" s="10">
        <f>+F13/A5</f>
        <v>987816.04618753726</v>
      </c>
      <c r="H13" s="10">
        <f t="shared" si="1"/>
        <v>987816.04618753726</v>
      </c>
      <c r="I13" s="10">
        <f t="shared" si="1"/>
        <v>987816.04618753726</v>
      </c>
    </row>
  </sheetData>
  <mergeCells count="4">
    <mergeCell ref="A2:I2"/>
    <mergeCell ref="A4:I4"/>
    <mergeCell ref="A6:I6"/>
    <mergeCell ref="A8:I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List2</vt:lpstr>
      <vt:lpstr>List1</vt:lpstr>
      <vt:lpstr>POSEBNI DIO</vt:lpstr>
      <vt:lpstr>Rashodi prema funkcijskoj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2022-08-16T05:37:11Z</cp:lastPrinted>
  <dcterms:created xsi:type="dcterms:W3CDTF">2022-08-12T12:51:27Z</dcterms:created>
  <dcterms:modified xsi:type="dcterms:W3CDTF">2022-10-17T10:59:17Z</dcterms:modified>
</cp:coreProperties>
</file>