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FP 2024\"/>
    </mc:Choice>
  </mc:AlternateContent>
  <xr:revisionPtr revIDLastSave="0" documentId="8_{94A76813-AF1D-4413-A489-7077B9B84624}" xr6:coauthVersionLast="37" xr6:coauthVersionMax="37" xr10:uidLastSave="{00000000-0000-0000-0000-000000000000}"/>
  <bookViews>
    <workbookView xWindow="0" yWindow="0" windowWidth="19008" windowHeight="877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state="hidden" r:id="rId5"/>
    <sheet name="Račun financiranja po izvorima" sheetId="9" state="hidden" r:id="rId6"/>
    <sheet name="POSEBNI DIO" sheetId="7" r:id="rId7"/>
  </sheets>
  <definedNames>
    <definedName name="_xlnm.Print_Area" localSheetId="6">'POSEBNI DIO'!$B:$F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" l="1"/>
  <c r="I9" i="10"/>
  <c r="F16" i="3"/>
  <c r="D12" i="5"/>
  <c r="F47" i="7"/>
  <c r="C12" i="5" l="1"/>
  <c r="C11" i="5"/>
  <c r="C10" i="5"/>
  <c r="B12" i="5"/>
  <c r="B11" i="5"/>
  <c r="B10" i="5"/>
  <c r="G14" i="10"/>
  <c r="G8" i="10"/>
  <c r="G11" i="10"/>
  <c r="G13" i="10"/>
  <c r="G12" i="10"/>
  <c r="G10" i="10"/>
  <c r="G9" i="10"/>
  <c r="E12" i="8" l="1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C20" i="8"/>
  <c r="D18" i="8"/>
  <c r="D17" i="8"/>
  <c r="D16" i="8"/>
  <c r="D15" i="8"/>
  <c r="D14" i="8"/>
  <c r="D13" i="8"/>
  <c r="I13" i="10"/>
  <c r="F19" i="7"/>
  <c r="F46" i="7"/>
  <c r="F45" i="7" s="1"/>
  <c r="F44" i="7" s="1"/>
  <c r="C51" i="7"/>
  <c r="F18" i="7" l="1"/>
  <c r="F6" i="7" s="1"/>
  <c r="F30" i="3"/>
  <c r="D34" i="8"/>
  <c r="D12" i="8" s="1"/>
  <c r="D19" i="3"/>
  <c r="D18" i="3"/>
  <c r="D17" i="3"/>
  <c r="H38" i="3"/>
  <c r="G38" i="3"/>
  <c r="E38" i="3"/>
  <c r="D38" i="3"/>
  <c r="D6" i="7"/>
  <c r="C24" i="7"/>
  <c r="D24" i="7" s="1"/>
  <c r="C25" i="7"/>
  <c r="C20" i="7"/>
  <c r="D20" i="7" s="1"/>
  <c r="D9" i="7"/>
  <c r="D10" i="7"/>
  <c r="D11" i="7"/>
  <c r="D12" i="7"/>
  <c r="D13" i="7"/>
  <c r="D14" i="7"/>
  <c r="D15" i="7"/>
  <c r="D16" i="7"/>
  <c r="D17" i="7"/>
  <c r="D18" i="7"/>
  <c r="D19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8" i="7"/>
  <c r="D7" i="7"/>
  <c r="C90" i="7"/>
  <c r="C87" i="7"/>
  <c r="C81" i="7"/>
  <c r="C83" i="7"/>
  <c r="C84" i="7"/>
  <c r="C69" i="7"/>
  <c r="C73" i="7"/>
  <c r="C75" i="7"/>
  <c r="C65" i="7"/>
  <c r="C66" i="7"/>
  <c r="C67" i="7"/>
  <c r="C61" i="7"/>
  <c r="C62" i="7"/>
  <c r="C57" i="7"/>
  <c r="C58" i="7"/>
  <c r="C52" i="7"/>
  <c r="C53" i="7"/>
  <c r="C35" i="7"/>
  <c r="C41" i="7"/>
  <c r="C42" i="7"/>
  <c r="C36" i="7"/>
  <c r="C37" i="7"/>
  <c r="C31" i="7"/>
  <c r="C30" i="7" s="1"/>
  <c r="C21" i="7"/>
  <c r="C13" i="7"/>
  <c r="C7" i="7" s="1"/>
  <c r="C14" i="7"/>
  <c r="C16" i="7"/>
  <c r="C17" i="7"/>
  <c r="C8" i="7"/>
  <c r="C9" i="7"/>
  <c r="C11" i="7"/>
  <c r="H17" i="3" l="1"/>
  <c r="H18" i="3"/>
  <c r="H15" i="3"/>
  <c r="H14" i="3"/>
  <c r="H13" i="3"/>
  <c r="H12" i="3"/>
  <c r="G17" i="3"/>
  <c r="G18" i="3"/>
  <c r="G12" i="3"/>
  <c r="G13" i="3"/>
  <c r="G14" i="3"/>
  <c r="G15" i="3"/>
  <c r="G11" i="3"/>
  <c r="F11" i="3"/>
  <c r="F19" i="3" s="1"/>
  <c r="F17" i="3"/>
  <c r="F12" i="3"/>
  <c r="K13" i="10"/>
  <c r="J10" i="10"/>
  <c r="K10" i="10" s="1"/>
  <c r="J12" i="10"/>
  <c r="K12" i="10" s="1"/>
  <c r="J9" i="10"/>
  <c r="K9" i="10" s="1"/>
  <c r="D40" i="8"/>
  <c r="H37" i="8" s="1"/>
  <c r="D38" i="8"/>
  <c r="D44" i="8"/>
  <c r="G78" i="7"/>
  <c r="G77" i="7" s="1"/>
  <c r="G76" i="7" s="1"/>
  <c r="H78" i="7"/>
  <c r="H77" i="7" s="1"/>
  <c r="H76" i="7" s="1"/>
  <c r="F78" i="7"/>
  <c r="F77" i="7" s="1"/>
  <c r="E44" i="8"/>
  <c r="E34" i="8"/>
  <c r="F34" i="8"/>
  <c r="E38" i="8"/>
  <c r="F38" i="8"/>
  <c r="E39" i="8"/>
  <c r="F39" i="8"/>
  <c r="E41" i="8"/>
  <c r="F41" i="8"/>
  <c r="D46" i="8"/>
  <c r="D41" i="8"/>
  <c r="D39" i="8"/>
  <c r="G35" i="3"/>
  <c r="G34" i="3" s="1"/>
  <c r="H35" i="3"/>
  <c r="H34" i="3" s="1"/>
  <c r="G30" i="3"/>
  <c r="H30" i="3"/>
  <c r="G31" i="3"/>
  <c r="H31" i="3"/>
  <c r="G29" i="3"/>
  <c r="H29" i="3"/>
  <c r="F35" i="3"/>
  <c r="F34" i="3" s="1"/>
  <c r="F29" i="3"/>
  <c r="F31" i="3"/>
  <c r="G65" i="7"/>
  <c r="H65" i="7"/>
  <c r="E6" i="7"/>
  <c r="F86" i="7"/>
  <c r="F91" i="7" s="1"/>
  <c r="G53" i="7"/>
  <c r="G52" i="7" s="1"/>
  <c r="G51" i="7" s="1"/>
  <c r="H53" i="7"/>
  <c r="H52" i="7" s="1"/>
  <c r="H51" i="7" s="1"/>
  <c r="G58" i="7"/>
  <c r="G57" i="7" s="1"/>
  <c r="H58" i="7"/>
  <c r="H57" i="7" s="1"/>
  <c r="G62" i="7"/>
  <c r="G61" i="7" s="1"/>
  <c r="H62" i="7"/>
  <c r="H61" i="7" s="1"/>
  <c r="G69" i="7"/>
  <c r="H69" i="7"/>
  <c r="F58" i="7"/>
  <c r="F57" i="7" s="1"/>
  <c r="G37" i="7"/>
  <c r="G36" i="7" s="1"/>
  <c r="H37" i="7"/>
  <c r="H36" i="7" s="1"/>
  <c r="H34" i="7"/>
  <c r="H31" i="7" s="1"/>
  <c r="G34" i="7"/>
  <c r="G31" i="7" s="1"/>
  <c r="F34" i="7"/>
  <c r="F31" i="7" s="1"/>
  <c r="G19" i="3" l="1"/>
  <c r="H19" i="3" s="1"/>
  <c r="H11" i="3"/>
  <c r="H16" i="3"/>
  <c r="K8" i="10"/>
  <c r="I8" i="10"/>
  <c r="H32" i="3"/>
  <c r="H18" i="7"/>
  <c r="F76" i="7"/>
  <c r="F32" i="3" s="1"/>
  <c r="F28" i="3" s="1"/>
  <c r="F40" i="8"/>
  <c r="F33" i="8" s="1"/>
  <c r="G18" i="7"/>
  <c r="E40" i="8"/>
  <c r="E33" i="8" s="1"/>
  <c r="E32" i="8" s="1"/>
  <c r="G32" i="3"/>
  <c r="G28" i="3" s="1"/>
  <c r="H56" i="7"/>
  <c r="G56" i="7"/>
  <c r="F90" i="7"/>
  <c r="F88" i="7" s="1"/>
  <c r="F36" i="3" l="1"/>
  <c r="F38" i="3"/>
  <c r="G37" i="3"/>
  <c r="H37" i="3" s="1"/>
  <c r="H28" i="3"/>
  <c r="H36" i="3" s="1"/>
  <c r="G36" i="3"/>
  <c r="D33" i="8"/>
  <c r="D32" i="8" s="1"/>
  <c r="F69" i="7" l="1"/>
  <c r="G35" i="7"/>
  <c r="H35" i="7"/>
  <c r="G42" i="7"/>
  <c r="H42" i="7"/>
  <c r="G43" i="7"/>
  <c r="H43" i="7"/>
  <c r="F37" i="7"/>
  <c r="F36" i="7" s="1"/>
  <c r="F35" i="7" s="1"/>
  <c r="F68" i="7"/>
  <c r="G68" i="7" s="1"/>
  <c r="H68" i="7" s="1"/>
  <c r="F67" i="7"/>
  <c r="G67" i="7" s="1"/>
  <c r="H67" i="7" s="1"/>
  <c r="F65" i="7"/>
  <c r="F62" i="7"/>
  <c r="F61" i="7" s="1"/>
  <c r="F56" i="7" s="1"/>
  <c r="F53" i="7" l="1"/>
  <c r="F52" i="7" s="1"/>
  <c r="F51" i="7" s="1"/>
  <c r="F43" i="7"/>
  <c r="F42" i="7"/>
  <c r="H24" i="7"/>
  <c r="G24" i="7"/>
  <c r="F24" i="7"/>
  <c r="F20" i="7"/>
  <c r="H22" i="7"/>
  <c r="G22" i="7"/>
  <c r="H21" i="7"/>
  <c r="H20" i="7" s="1"/>
  <c r="H19" i="7" s="1"/>
  <c r="G21" i="7"/>
  <c r="G20" i="7" s="1"/>
  <c r="G19" i="7" s="1"/>
  <c r="G15" i="7"/>
  <c r="G14" i="7" s="1"/>
  <c r="H15" i="7"/>
  <c r="H14" i="7" s="1"/>
  <c r="F15" i="7"/>
  <c r="F14" i="7" s="1"/>
  <c r="F13" i="7" s="1"/>
  <c r="F7" i="7" s="1"/>
  <c r="E11" i="3"/>
  <c r="E28" i="3"/>
  <c r="E19" i="3"/>
  <c r="C41" i="8"/>
  <c r="C11" i="8"/>
  <c r="C33" i="8"/>
  <c r="H13" i="7" l="1"/>
  <c r="H7" i="7"/>
  <c r="H6" i="7" s="1"/>
  <c r="G7" i="7"/>
  <c r="G6" i="7" s="1"/>
  <c r="G13" i="7"/>
  <c r="B19" i="8" l="1"/>
  <c r="B11" i="8" s="1"/>
  <c r="D28" i="3"/>
  <c r="B45" i="8"/>
  <c r="F44" i="8" l="1"/>
  <c r="F32" i="8" s="1"/>
  <c r="C44" i="8"/>
  <c r="C32" i="8" s="1"/>
  <c r="B44" i="8"/>
  <c r="F11" i="8"/>
  <c r="F10" i="8" s="1"/>
  <c r="E11" i="8"/>
  <c r="E10" i="8" s="1"/>
  <c r="D11" i="8"/>
  <c r="D10" i="8" s="1"/>
  <c r="C10" i="8"/>
  <c r="B10" i="8"/>
  <c r="D34" i="3" l="1"/>
  <c r="A10" i="3"/>
  <c r="E34" i="3"/>
  <c r="D11" i="3"/>
  <c r="E12" i="3"/>
  <c r="H9" i="10" l="1"/>
  <c r="H8" i="10"/>
  <c r="F8" i="10" l="1"/>
  <c r="F11" i="10" s="1"/>
  <c r="K21" i="10" l="1"/>
  <c r="J21" i="10"/>
  <c r="I21" i="10"/>
  <c r="H21" i="10"/>
  <c r="F21" i="10"/>
  <c r="K11" i="10"/>
  <c r="J11" i="10"/>
  <c r="I11" i="10"/>
  <c r="D10" i="5" s="1"/>
  <c r="H11" i="10"/>
  <c r="J8" i="10"/>
  <c r="E10" i="5" l="1"/>
  <c r="D11" i="5"/>
  <c r="H28" i="10"/>
  <c r="H29" i="10" s="1"/>
  <c r="F14" i="10"/>
  <c r="F22" i="10" s="1"/>
  <c r="F28" i="10" s="1"/>
  <c r="F29" i="10" s="1"/>
  <c r="J14" i="10"/>
  <c r="I14" i="10"/>
  <c r="I22" i="10" s="1"/>
  <c r="I28" i="10" s="1"/>
  <c r="I29" i="10" s="1"/>
  <c r="K14" i="10"/>
  <c r="K22" i="10" s="1"/>
  <c r="K28" i="10" s="1"/>
  <c r="K29" i="10" s="1"/>
  <c r="J22" i="10"/>
  <c r="J28" i="10" s="1"/>
  <c r="J29" i="10" s="1"/>
  <c r="B33" i="8"/>
  <c r="B32" i="8" s="1"/>
  <c r="F10" i="5" l="1"/>
  <c r="E11" i="5"/>
  <c r="E12" i="5" l="1"/>
  <c r="F12" i="5" s="1"/>
  <c r="F11" i="5"/>
</calcChain>
</file>

<file path=xl/sharedStrings.xml><?xml version="1.0" encoding="utf-8"?>
<sst xmlns="http://schemas.openxmlformats.org/spreadsheetml/2006/main" count="260" uniqueCount="136">
  <si>
    <t>PRIHODI UKUPNO</t>
  </si>
  <si>
    <t>RASHODI UKUPNO</t>
  </si>
  <si>
    <t>NETO FINANCIRANJE</t>
  </si>
  <si>
    <t xml:space="preserve">A. RAČUN PRIHODA I RASHODA </t>
  </si>
  <si>
    <t>Razred</t>
  </si>
  <si>
    <t>Skupina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</si>
  <si>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</si>
  <si>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</si>
  <si>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</si>
  <si>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</si>
  <si>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</si>
  <si>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</si>
  <si>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</si>
  <si>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</si>
  <si>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</si>
  <si>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</si>
  <si>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</si>
  <si>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</si>
  <si>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</si>
  <si>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</si>
  <si>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</si>
  <si>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</si>
  <si>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</si>
  <si>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</si>
  <si>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</si>
  <si>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</si>
  <si>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</si>
  <si>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</si>
  <si>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</si>
  <si>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</si>
  <si>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</si>
  <si>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</si>
  <si>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</si>
  <si>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</si>
  <si>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</si>
  <si>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</si>
  <si>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</si>
  <si>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</si>
  <si>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</si>
  <si>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</si>
  <si>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</si>
  <si>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</si>
  <si>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</si>
  <si>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</si>
  <si>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</si>
  <si>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</si>
  <si>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</si>
  <si>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</si>
  <si>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</si>
  <si>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</si>
  <si>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</si>
  <si>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</si>
  <si>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</si>
  <si>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</si>
  <si>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</si>
  <si>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</si>
  <si>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</si>
  <si>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</si>
  <si>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</si>
  <si>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</si>
  <si>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</si>
  <si>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</si>
  <si>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</si>
  <si>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</si>
  <si>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</si>
  <si>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</si>
  <si>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</si>
  <si>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PRIJEDLOG FINANCIJSKOG PLANA OSNOVNE ŠKOLE MARINA GETALDIĆA  
ZA 2024. I PROJEKCIJA ZA 2025. I 2026. GODINU</t>
  </si>
  <si>
    <t>6 Prihodi poslovanja</t>
  </si>
  <si>
    <t>63 Pomoći iz inozemstva (darovnice) i od subjekata unutar opće države</t>
  </si>
  <si>
    <t>64 Prihodi od imovine</t>
  </si>
  <si>
    <t>65 Prihodi od upravnih administrativnih pristojbi, pristojbi po posebnim propisima i naknada</t>
  </si>
  <si>
    <t>66 Prihodi od prodaje proizvoda i robe te pruženih usluga i prihodi od donacija te povrati po protestiranim jamstvima</t>
  </si>
  <si>
    <t>7 Prihodi od prodaje nefinancijske imovine</t>
  </si>
  <si>
    <t>72 Prihodi od prodaje proizvedene dugotrajne imovine</t>
  </si>
  <si>
    <t xml:space="preserve"> 67 Prihodi iz nadležnog proračuna i od HZZO-a temeljem ugovornih obveza</t>
  </si>
  <si>
    <t>Financijski rashodi</t>
  </si>
  <si>
    <t>3 Rashodi poslovanja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</si>
  <si>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</si>
  <si>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</si>
  <si>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</si>
  <si>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</si>
  <si>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</si>
  <si>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</si>
  <si>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25 Vlastiti prihodi</t>
  </si>
  <si>
    <t>31 Prihodi za posebne namjene</t>
  </si>
  <si>
    <t xml:space="preserve">42 Namjenske tekuće pomoći </t>
  </si>
  <si>
    <t xml:space="preserve">44 EU fondovi - Pomoći </t>
  </si>
  <si>
    <t>49 Pomoći iz državnog proračuna za plaće te ostale rashode za zaposlene</t>
  </si>
  <si>
    <t>55 Donacije i ostali namjenski prihodi</t>
  </si>
  <si>
    <t>IZVOR</t>
  </si>
  <si>
    <t>11 Opći prihodi i primici</t>
  </si>
  <si>
    <t>29 Višak /manjak proračunskik  korisnika</t>
  </si>
  <si>
    <t>49 Pomoći iz dr.pr.za plaće te ostale rashode za zaposlene</t>
  </si>
  <si>
    <t>55 Donacije</t>
  </si>
  <si>
    <t>29 manjak</t>
  </si>
  <si>
    <t>8054 DECENTRALIZIRANE FUNKCIJE- MINIMALNI FINANCIJSKI STANDARD</t>
  </si>
  <si>
    <t>A805401 MATERIJALNI I FINANCIJSKI RASHODI</t>
  </si>
  <si>
    <t>Izvor: 31 Potpore za decentralizirane izdatke</t>
  </si>
  <si>
    <t>T805404 REDOVNA DJELATNOST OSNOVNOG OBRAZOVANJA</t>
  </si>
  <si>
    <t>Izvor: 49 Pomoći iz državnog proračuna za plaće te ostale rashode za zaposlene</t>
  </si>
  <si>
    <t>8055 DECENTRALIZIRANE FUNKCIJE - IZNAD MINIMALNOG FINANCIJSKOG STANDARDA</t>
  </si>
  <si>
    <t>A805502 OSTALI PROJEKTI U OSNOVNOM ŠKOLSTVU</t>
  </si>
  <si>
    <t>Izvor: 11 Opći prihodi i primici</t>
  </si>
  <si>
    <t>Izvor: 25 Vlastiti prihodi proračunskih korisnika</t>
  </si>
  <si>
    <t>Izvor: 29 Višak / manjak prihoda proračunskih korisnika</t>
  </si>
  <si>
    <t>Izvor: 55 Donacije i ostali namjenski prihodi proračunskih korisnika</t>
  </si>
  <si>
    <t>A805506 PRODUŽENI BORAVAK</t>
  </si>
  <si>
    <t>A805521 TEKUĆE I INVESTICIJSKO ODRŽAVANJE IZNAD MINIMALNOG STANDARDA</t>
  </si>
  <si>
    <t>Izvor: 22 Višak/manjak prihoda</t>
  </si>
  <si>
    <t>A805523 STRUČNO RAZVOJNE SLUŽBE</t>
  </si>
  <si>
    <t>A805536 ASISTENT U NASTAVI</t>
  </si>
  <si>
    <t>Izvor: 44 EU fondovi-pomoći</t>
  </si>
  <si>
    <t>A805539 NABAVA ŠKOLSKIH UDŽBENIKA</t>
  </si>
  <si>
    <t>A805540 SHEMA ŠKOLSKOG VOĆA</t>
  </si>
  <si>
    <t>Izvor: 42 Namjenske tekuće pomoći</t>
  </si>
  <si>
    <t>A805543 PREHRANA ZA UČENIKE U OSNOVNIM ŠKOLAMA</t>
  </si>
  <si>
    <t>8056 KAPITALNO ULAGANJE U ŠKOLSTVO - MINIMALNI FINANCIJSKI STANDARD</t>
  </si>
  <si>
    <t>K805602 ŠKOLSKA OPREMA</t>
  </si>
  <si>
    <t>22 Višak manjak proračunskih korisnika</t>
  </si>
  <si>
    <t>22 Višak manjak prorač. Korisnika</t>
  </si>
  <si>
    <t xml:space="preserve">8057 Kapitalno ulaganje u školstvo - iznad minimalnog financijskog standarda </t>
  </si>
  <si>
    <t>K805701 ŠKOLSKA OPREMA</t>
  </si>
  <si>
    <t>Izvor 11 Opći prihodi i primici</t>
  </si>
  <si>
    <t>UKUPNO OŠ MGETALDIĆ</t>
  </si>
  <si>
    <t>FINANCIJSKI PLAN OSNOVNE ŠKOLE MARINA GETALDIĆA
ZA 2024. I PROJEKCIJA ZA 2025. I 2026. GODINU</t>
  </si>
  <si>
    <t>FINANCIJSKI PLAN OSNOVNE ŠKOLE MARINA GETALDIĆA ZA 2024. GODINU I PROJEKCIJE ZA 2025. I 2026. GODINU</t>
  </si>
  <si>
    <t>IZVRŠENJE KN</t>
  </si>
  <si>
    <t>IZVOR 55</t>
  </si>
  <si>
    <t>OSNOVNE ŠKOLE MARINA GETALDIĆA</t>
  </si>
  <si>
    <t>Naknade građanima</t>
  </si>
  <si>
    <t>PRIJEDLOG FINANCIJSKOG PLANA OSNOVNE ŠKOLE MARINA GETALDIĆA 
ZA 2024. I PROJEKCIJA ZA 2025. I 2026. GODINU</t>
  </si>
  <si>
    <t>BROJČANA OZNAKA I NAZIV</t>
  </si>
  <si>
    <t>Plan za 2023.</t>
  </si>
  <si>
    <t>09 OBRAZOVANJE</t>
  </si>
  <si>
    <t>091 Predškolsko I osnovno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</si>
</sst>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4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"/>
      <family val="2"/>
    </font>
    <font>
      <i/>
      <sz val="8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EF0FB"/>
      </patternFill>
    </fill>
    <fill>
      <patternFill patternType="solid">
        <fgColor theme="4" tint="0.79998168889431442"/>
        <bgColor rgb="FFFEF0F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9" fillId="5" borderId="6" applyNumberFormat="0" applyFont="0" applyAlignment="0" applyProtection="0"/>
    <xf numFmtId="0" fontId="19" fillId="6" borderId="0" applyNumberFormat="0" applyBorder="0" applyAlignment="0" applyProtection="0"/>
  </cellStyleXfs>
  <cellXfs count="30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21" fillId="9" borderId="3" xfId="0" applyNumberFormat="1" applyFont="1" applyFill="1" applyBorder="1" applyAlignment="1">
      <alignment horizontal="center" wrapText="1"/>
    </xf>
    <xf numFmtId="4" fontId="21" fillId="8" borderId="3" xfId="0" applyNumberFormat="1" applyFont="1" applyFill="1" applyBorder="1" applyAlignment="1">
      <alignment horizontal="center" wrapText="1"/>
    </xf>
    <xf numFmtId="4" fontId="6" fillId="3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4" fontId="6" fillId="0" borderId="0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/>
    </xf>
    <xf numFmtId="0" fontId="6" fillId="11" borderId="3" xfId="0" applyNumberFormat="1" applyFont="1" applyFill="1" applyBorder="1" applyAlignment="1" applyProtection="1">
      <alignment horizontal="center" wrapText="1"/>
    </xf>
    <xf numFmtId="0" fontId="1" fillId="11" borderId="3" xfId="0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0" fontId="9" fillId="12" borderId="6" xfId="1" applyNumberFormat="1" applyFont="1" applyFill="1" applyAlignment="1" applyProtection="1">
      <alignment horizontal="left" vertical="center" wrapText="1"/>
    </xf>
    <xf numFmtId="3" fontId="3" fillId="12" borderId="6" xfId="1" applyNumberFormat="1" applyFont="1" applyFill="1" applyAlignment="1">
      <alignment horizontal="right"/>
    </xf>
    <xf numFmtId="0" fontId="9" fillId="12" borderId="6" xfId="1" applyFont="1" applyFill="1" applyAlignment="1">
      <alignment horizontal="left" vertical="center"/>
    </xf>
    <xf numFmtId="0" fontId="9" fillId="12" borderId="6" xfId="1" applyNumberFormat="1" applyFont="1" applyFill="1" applyAlignment="1" applyProtection="1">
      <alignment horizontal="left" vertical="center"/>
    </xf>
    <xf numFmtId="0" fontId="9" fillId="12" borderId="6" xfId="1" applyNumberFormat="1" applyFont="1" applyFill="1" applyAlignment="1" applyProtection="1">
      <alignment vertical="center" wrapText="1"/>
    </xf>
    <xf numFmtId="0" fontId="0" fillId="0" borderId="3" xfId="0" applyBorder="1"/>
    <xf numFmtId="3" fontId="7" fillId="2" borderId="3" xfId="0" applyNumberFormat="1" applyFont="1" applyFill="1" applyBorder="1" applyAlignment="1">
      <alignment horizontal="right"/>
    </xf>
    <xf numFmtId="4" fontId="7" fillId="12" borderId="6" xfId="1" applyNumberFormat="1" applyFont="1" applyFill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0" fontId="9" fillId="12" borderId="11" xfId="1" applyNumberFormat="1" applyFont="1" applyFill="1" applyBorder="1" applyAlignment="1" applyProtection="1">
      <alignment vertical="center" wrapText="1"/>
    </xf>
    <xf numFmtId="4" fontId="7" fillId="12" borderId="3" xfId="1" applyNumberFormat="1" applyFont="1" applyFill="1" applyBorder="1" applyAlignment="1">
      <alignment horizontal="right"/>
    </xf>
    <xf numFmtId="3" fontId="7" fillId="12" borderId="3" xfId="1" applyNumberFormat="1" applyFont="1" applyFill="1" applyBorder="1" applyAlignment="1">
      <alignment horizontal="right"/>
    </xf>
    <xf numFmtId="0" fontId="29" fillId="12" borderId="3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12" borderId="3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left"/>
    </xf>
    <xf numFmtId="0" fontId="32" fillId="0" borderId="7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34" fillId="2" borderId="3" xfId="0" applyFont="1" applyFill="1" applyBorder="1" applyAlignment="1">
      <alignment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4" fontId="8" fillId="2" borderId="4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35" fillId="0" borderId="3" xfId="0" applyFont="1" applyBorder="1"/>
    <xf numFmtId="4" fontId="8" fillId="2" borderId="3" xfId="0" applyNumberFormat="1" applyFont="1" applyFill="1" applyBorder="1" applyAlignment="1">
      <alignment horizontal="right"/>
    </xf>
    <xf numFmtId="0" fontId="35" fillId="0" borderId="2" xfId="0" applyFont="1" applyBorder="1"/>
    <xf numFmtId="0" fontId="8" fillId="2" borderId="3" xfId="0" quotePrefix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9" fillId="12" borderId="4" xfId="0" applyNumberFormat="1" applyFont="1" applyFill="1" applyBorder="1" applyAlignment="1" applyProtection="1">
      <alignment horizontal="center" vertical="center" wrapText="1"/>
    </xf>
    <xf numFmtId="0" fontId="1" fillId="12" borderId="3" xfId="2" applyNumberFormat="1" applyFont="1" applyFill="1" applyBorder="1" applyAlignment="1" applyProtection="1">
      <alignment horizontal="left" vertical="center" wrapText="1"/>
    </xf>
    <xf numFmtId="3" fontId="1" fillId="12" borderId="3" xfId="2" applyNumberFormat="1" applyFont="1" applyFill="1" applyBorder="1" applyAlignment="1" applyProtection="1">
      <alignment horizontal="center" vertical="center" wrapText="1"/>
    </xf>
    <xf numFmtId="3" fontId="6" fillId="12" borderId="6" xfId="1" applyNumberFormat="1" applyFont="1" applyFill="1" applyAlignment="1" applyProtection="1">
      <alignment horizontal="righ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vertical="center"/>
    </xf>
    <xf numFmtId="3" fontId="6" fillId="12" borderId="6" xfId="1" applyNumberFormat="1" applyFont="1" applyFill="1" applyAlignment="1">
      <alignment horizontal="right"/>
    </xf>
    <xf numFmtId="3" fontId="0" fillId="0" borderId="0" xfId="0" applyNumberFormat="1"/>
    <xf numFmtId="4" fontId="9" fillId="12" borderId="6" xfId="1" applyNumberFormat="1" applyFont="1" applyFill="1" applyAlignment="1" applyProtection="1">
      <alignment horizontal="right" vertical="center" wrapText="1"/>
    </xf>
    <xf numFmtId="4" fontId="9" fillId="12" borderId="6" xfId="1" applyNumberFormat="1" applyFont="1" applyFill="1" applyAlignment="1">
      <alignment horizontal="right"/>
    </xf>
    <xf numFmtId="4" fontId="1" fillId="12" borderId="4" xfId="2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>
      <alignment horizontal="right"/>
    </xf>
    <xf numFmtId="0" fontId="9" fillId="12" borderId="12" xfId="1" applyNumberFormat="1" applyFont="1" applyFill="1" applyBorder="1" applyAlignment="1" applyProtection="1">
      <alignment vertical="center" wrapText="1"/>
    </xf>
    <xf numFmtId="4" fontId="9" fillId="12" borderId="12" xfId="1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left" vertical="center" wrapText="1" indent="3"/>
    </xf>
    <xf numFmtId="0" fontId="8" fillId="2" borderId="8" xfId="0" applyNumberFormat="1" applyFont="1" applyFill="1" applyBorder="1" applyAlignment="1" applyProtection="1">
      <alignment horizontal="left" vertical="center" wrapText="1"/>
    </xf>
    <xf numFmtId="4" fontId="7" fillId="2" borderId="8" xfId="0" applyNumberFormat="1" applyFont="1" applyFill="1" applyBorder="1" applyAlignment="1">
      <alignment horizontal="right"/>
    </xf>
    <xf numFmtId="3" fontId="6" fillId="12" borderId="12" xfId="1" applyNumberFormat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left" vertical="center"/>
    </xf>
    <xf numFmtId="3" fontId="3" fillId="12" borderId="12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37" fillId="0" borderId="0" xfId="0" applyFont="1"/>
    <xf numFmtId="9" fontId="37" fillId="0" borderId="0" xfId="0" applyNumberFormat="1" applyFont="1"/>
    <xf numFmtId="4" fontId="37" fillId="0" borderId="0" xfId="0" applyNumberFormat="1" applyFont="1"/>
    <xf numFmtId="0" fontId="21" fillId="7" borderId="3" xfId="0" applyFont="1" applyFill="1" applyBorder="1" applyAlignment="1">
      <alignment horizontal="left" vertical="center" wrapText="1" indent="3"/>
    </xf>
    <xf numFmtId="4" fontId="9" fillId="7" borderId="3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left" wrapText="1"/>
    </xf>
    <xf numFmtId="0" fontId="9" fillId="7" borderId="3" xfId="0" applyFont="1" applyFill="1" applyBorder="1" applyAlignment="1">
      <alignment horizontal="left" vertical="center" wrapText="1" indent="1"/>
    </xf>
    <xf numFmtId="0" fontId="9" fillId="12" borderId="3" xfId="0" applyFont="1" applyFill="1" applyBorder="1" applyAlignment="1">
      <alignment horizontal="left" vertical="center" wrapText="1" indent="1"/>
    </xf>
    <xf numFmtId="0" fontId="9" fillId="12" borderId="3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vertical="center" wrapText="1"/>
    </xf>
    <xf numFmtId="0" fontId="20" fillId="14" borderId="3" xfId="0" applyFont="1" applyFill="1" applyBorder="1" applyAlignment="1">
      <alignment horizontal="left" vertical="center" wrapText="1" indent="3"/>
    </xf>
    <xf numFmtId="0" fontId="20" fillId="13" borderId="3" xfId="0" applyFont="1" applyFill="1" applyBorder="1" applyAlignment="1">
      <alignment horizontal="left" vertical="center" wrapText="1" indent="3"/>
    </xf>
    <xf numFmtId="0" fontId="21" fillId="14" borderId="3" xfId="0" applyFont="1" applyFill="1" applyBorder="1" applyAlignment="1">
      <alignment horizontal="left" wrapText="1"/>
    </xf>
    <xf numFmtId="0" fontId="9" fillId="10" borderId="3" xfId="0" applyFont="1" applyFill="1" applyBorder="1" applyAlignment="1">
      <alignment horizontal="left" vertical="center" wrapText="1" indent="1"/>
    </xf>
    <xf numFmtId="4" fontId="9" fillId="12" borderId="3" xfId="0" applyNumberFormat="1" applyFont="1" applyFill="1" applyBorder="1" applyAlignment="1">
      <alignment horizontal="left" wrapText="1"/>
    </xf>
    <xf numFmtId="0" fontId="21" fillId="11" borderId="3" xfId="0" applyFont="1" applyFill="1" applyBorder="1" applyAlignment="1">
      <alignment vertical="center" wrapText="1"/>
    </xf>
    <xf numFmtId="0" fontId="6" fillId="15" borderId="3" xfId="0" applyFont="1" applyFill="1" applyBorder="1" applyAlignment="1">
      <alignment horizontal="left" vertical="center" wrapText="1"/>
    </xf>
    <xf numFmtId="0" fontId="9" fillId="0" borderId="3" xfId="0" applyFont="1" applyBorder="1"/>
    <xf numFmtId="0" fontId="23" fillId="0" borderId="3" xfId="0" applyFont="1" applyBorder="1"/>
    <xf numFmtId="4" fontId="21" fillId="7" borderId="3" xfId="0" applyNumberFormat="1" applyFont="1" applyFill="1" applyBorder="1" applyAlignment="1">
      <alignment horizontal="center" vertical="center" wrapText="1"/>
    </xf>
    <xf numFmtId="4" fontId="9" fillId="12" borderId="3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 wrapText="1"/>
    </xf>
    <xf numFmtId="4" fontId="9" fillId="14" borderId="3" xfId="0" applyNumberFormat="1" applyFont="1" applyFill="1" applyBorder="1" applyAlignment="1">
      <alignment horizontal="center" vertical="center" wrapText="1"/>
    </xf>
    <xf numFmtId="4" fontId="7" fillId="14" borderId="3" xfId="0" applyNumberFormat="1" applyFont="1" applyFill="1" applyBorder="1" applyAlignment="1">
      <alignment horizontal="center" vertical="center" wrapText="1"/>
    </xf>
    <xf numFmtId="4" fontId="38" fillId="7" borderId="3" xfId="0" applyNumberFormat="1" applyFont="1" applyFill="1" applyBorder="1" applyAlignment="1">
      <alignment horizontal="center" vertical="center" wrapText="1"/>
    </xf>
    <xf numFmtId="4" fontId="7" fillId="13" borderId="3" xfId="0" applyNumberFormat="1" applyFont="1" applyFill="1" applyBorder="1" applyAlignment="1">
      <alignment horizontal="center" vertical="center" wrapText="1"/>
    </xf>
    <xf numFmtId="4" fontId="20" fillId="7" borderId="3" xfId="0" applyNumberFormat="1" applyFont="1" applyFill="1" applyBorder="1" applyAlignment="1">
      <alignment horizontal="center" vertical="center" wrapText="1"/>
    </xf>
    <xf numFmtId="4" fontId="20" fillId="14" borderId="3" xfId="0" applyNumberFormat="1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" fontId="21" fillId="11" borderId="3" xfId="0" applyNumberFormat="1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36" fillId="16" borderId="7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4" fontId="25" fillId="12" borderId="3" xfId="0" applyNumberFormat="1" applyFont="1" applyFill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5" fillId="14" borderId="3" xfId="0" applyNumberFormat="1" applyFont="1" applyFill="1" applyBorder="1" applyAlignment="1">
      <alignment horizontal="center" vertical="center"/>
    </xf>
    <xf numFmtId="4" fontId="26" fillId="14" borderId="3" xfId="0" applyNumberFormat="1" applyFont="1" applyFill="1" applyBorder="1" applyAlignment="1">
      <alignment horizontal="center" vertical="center"/>
    </xf>
    <xf numFmtId="4" fontId="26" fillId="13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14" borderId="3" xfId="0" applyNumberFormat="1" applyFont="1" applyFill="1" applyBorder="1" applyAlignment="1">
      <alignment horizontal="center" vertical="center"/>
    </xf>
    <xf numFmtId="4" fontId="25" fillId="10" borderId="3" xfId="0" applyNumberFormat="1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3" xfId="0" applyFont="1" applyBorder="1"/>
    <xf numFmtId="0" fontId="8" fillId="2" borderId="3" xfId="0" applyFont="1" applyFill="1" applyBorder="1" applyAlignment="1">
      <alignment horizontal="left" vertical="center"/>
    </xf>
    <xf numFmtId="3" fontId="35" fillId="0" borderId="3" xfId="0" applyNumberFormat="1" applyFont="1" applyBorder="1"/>
    <xf numFmtId="3" fontId="3" fillId="12" borderId="11" xfId="1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3" fontId="7" fillId="12" borderId="1" xfId="1" applyNumberFormat="1" applyFont="1" applyFill="1" applyBorder="1" applyAlignment="1">
      <alignment horizontal="right"/>
    </xf>
    <xf numFmtId="3" fontId="3" fillId="12" borderId="20" xfId="1" applyNumberFormat="1" applyFont="1" applyFill="1" applyBorder="1" applyAlignment="1">
      <alignment horizontal="right"/>
    </xf>
    <xf numFmtId="3" fontId="7" fillId="12" borderId="4" xfId="1" applyNumberFormat="1" applyFont="1" applyFill="1" applyBorder="1" applyAlignment="1">
      <alignment horizontal="right"/>
    </xf>
    <xf numFmtId="3" fontId="3" fillId="12" borderId="3" xfId="1" applyNumberFormat="1" applyFont="1" applyFill="1" applyBorder="1" applyAlignment="1">
      <alignment horizontal="right"/>
    </xf>
    <xf numFmtId="3" fontId="40" fillId="0" borderId="3" xfId="0" applyNumberFormat="1" applyFont="1" applyBorder="1"/>
    <xf numFmtId="4" fontId="1" fillId="12" borderId="4" xfId="2" applyNumberFormat="1" applyFont="1" applyFill="1" applyBorder="1" applyAlignment="1" applyProtection="1">
      <alignment horizontal="center" wrapText="1"/>
    </xf>
    <xf numFmtId="3" fontId="1" fillId="12" borderId="3" xfId="2" applyNumberFormat="1" applyFont="1" applyFill="1" applyBorder="1" applyAlignment="1" applyProtection="1">
      <alignment horizont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36" fillId="12" borderId="3" xfId="0" applyNumberFormat="1" applyFont="1" applyFill="1" applyBorder="1" applyAlignment="1" applyProtection="1">
      <alignment horizontal="center" vertical="center" wrapText="1"/>
    </xf>
    <xf numFmtId="3" fontId="40" fillId="12" borderId="3" xfId="2" applyNumberFormat="1" applyFont="1" applyFill="1" applyBorder="1" applyAlignment="1" applyProtection="1">
      <alignment horizontal="center" vertical="center" wrapText="1"/>
    </xf>
    <xf numFmtId="3" fontId="36" fillId="12" borderId="6" xfId="1" applyNumberFormat="1" applyFont="1" applyFill="1" applyAlignment="1" applyProtection="1">
      <alignment horizontal="center" vertical="center" wrapText="1"/>
    </xf>
    <xf numFmtId="3" fontId="36" fillId="2" borderId="3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3" fontId="36" fillId="12" borderId="6" xfId="1" applyNumberFormat="1" applyFont="1" applyFill="1" applyAlignment="1">
      <alignment horizontal="center" vertical="center"/>
    </xf>
    <xf numFmtId="0" fontId="36" fillId="4" borderId="3" xfId="0" applyNumberFormat="1" applyFont="1" applyFill="1" applyBorder="1" applyAlignment="1" applyProtection="1">
      <alignment horizontal="center" vertical="center" wrapText="1"/>
    </xf>
    <xf numFmtId="3" fontId="36" fillId="12" borderId="12" xfId="1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0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vertical="center" wrapText="1"/>
    </xf>
    <xf numFmtId="0" fontId="30" fillId="11" borderId="3" xfId="0" applyNumberFormat="1" applyFont="1" applyFill="1" applyBorder="1" applyAlignment="1" applyProtection="1">
      <alignment horizontal="center" wrapText="1"/>
    </xf>
    <xf numFmtId="4" fontId="29" fillId="12" borderId="3" xfId="0" applyNumberFormat="1" applyFont="1" applyFill="1" applyBorder="1" applyAlignment="1">
      <alignment horizontal="center" wrapText="1"/>
    </xf>
    <xf numFmtId="4" fontId="6" fillId="12" borderId="3" xfId="0" applyNumberFormat="1" applyFont="1" applyFill="1" applyBorder="1" applyAlignment="1" applyProtection="1">
      <alignment horizontal="center" wrapText="1"/>
    </xf>
    <xf numFmtId="4" fontId="34" fillId="2" borderId="3" xfId="0" applyNumberFormat="1" applyFont="1" applyFill="1" applyBorder="1" applyAlignment="1">
      <alignment horizontal="center" wrapText="1"/>
    </xf>
    <xf numFmtId="4" fontId="16" fillId="2" borderId="3" xfId="0" applyNumberFormat="1" applyFont="1" applyFill="1" applyBorder="1" applyAlignment="1" applyProtection="1">
      <alignment horizontal="center" wrapText="1"/>
    </xf>
    <xf numFmtId="0" fontId="34" fillId="2" borderId="3" xfId="0" applyFont="1" applyFill="1" applyBorder="1" applyAlignment="1">
      <alignment horizontal="center" wrapText="1"/>
    </xf>
    <xf numFmtId="0" fontId="21" fillId="1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4" fontId="3" fillId="2" borderId="3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11" fillId="0" borderId="0" xfId="0" applyFont="1" applyAlignment="1">
      <alignment wrapText="1"/>
    </xf>
    <xf numFmtId="4" fontId="20" fillId="7" borderId="4" xfId="0" applyNumberFormat="1" applyFont="1" applyFill="1" applyBorder="1" applyAlignment="1">
      <alignment vertical="center" wrapText="1"/>
    </xf>
    <xf numFmtId="4" fontId="9" fillId="12" borderId="4" xfId="0" applyNumberFormat="1" applyFont="1" applyFill="1" applyBorder="1" applyAlignment="1">
      <alignment horizontal="center" wrapText="1"/>
    </xf>
    <xf numFmtId="4" fontId="21" fillId="7" borderId="4" xfId="0" applyNumberFormat="1" applyFont="1" applyFill="1" applyBorder="1" applyAlignment="1">
      <alignment vertical="center" wrapText="1"/>
    </xf>
    <xf numFmtId="4" fontId="23" fillId="7" borderId="3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 indent="1"/>
    </xf>
    <xf numFmtId="4" fontId="36" fillId="16" borderId="7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21" fillId="7" borderId="4" xfId="0" applyNumberFormat="1" applyFont="1" applyFill="1" applyBorder="1" applyAlignment="1">
      <alignment horizontal="center" wrapText="1"/>
    </xf>
    <xf numFmtId="4" fontId="20" fillId="14" borderId="4" xfId="0" applyNumberFormat="1" applyFont="1" applyFill="1" applyBorder="1" applyAlignment="1">
      <alignment vertical="center" wrapText="1"/>
    </xf>
    <xf numFmtId="4" fontId="20" fillId="13" borderId="4" xfId="0" applyNumberFormat="1" applyFont="1" applyFill="1" applyBorder="1" applyAlignment="1">
      <alignment vertical="center" wrapText="1"/>
    </xf>
    <xf numFmtId="4" fontId="21" fillId="7" borderId="4" xfId="0" applyNumberFormat="1" applyFont="1" applyFill="1" applyBorder="1" applyAlignment="1">
      <alignment horizontal="center" vertical="center" wrapText="1"/>
    </xf>
    <xf numFmtId="4" fontId="9" fillId="12" borderId="4" xfId="0" applyNumberFormat="1" applyFont="1" applyFill="1" applyBorder="1" applyAlignment="1">
      <alignment horizontal="center" vertical="center" wrapText="1"/>
    </xf>
    <xf numFmtId="4" fontId="20" fillId="7" borderId="4" xfId="0" applyNumberFormat="1" applyFont="1" applyFill="1" applyBorder="1" applyAlignment="1">
      <alignment horizontal="center" vertical="center" wrapText="1"/>
    </xf>
    <xf numFmtId="4" fontId="20" fillId="7" borderId="13" xfId="0" applyNumberFormat="1" applyFont="1" applyFill="1" applyBorder="1" applyAlignment="1">
      <alignment horizontal="center" vertical="center" wrapText="1"/>
    </xf>
    <xf numFmtId="4" fontId="21" fillId="14" borderId="4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 wrapText="1"/>
    </xf>
    <xf numFmtId="4" fontId="21" fillId="14" borderId="4" xfId="0" applyNumberFormat="1" applyFont="1" applyFill="1" applyBorder="1" applyAlignment="1">
      <alignment horizontal="center" wrapText="1"/>
    </xf>
    <xf numFmtId="4" fontId="20" fillId="14" borderId="4" xfId="0" applyNumberFormat="1" applyFont="1" applyFill="1" applyBorder="1" applyAlignment="1">
      <alignment horizontal="center" vertical="center" wrapText="1"/>
    </xf>
    <xf numFmtId="4" fontId="20" fillId="13" borderId="4" xfId="0" applyNumberFormat="1" applyFont="1" applyFill="1" applyBorder="1" applyAlignment="1">
      <alignment horizontal="center" vertical="center" wrapText="1"/>
    </xf>
    <xf numFmtId="4" fontId="23" fillId="7" borderId="4" xfId="0" applyNumberFormat="1" applyFont="1" applyFill="1" applyBorder="1" applyAlignment="1">
      <alignment horizontal="center" vertical="center" wrapText="1"/>
    </xf>
    <xf numFmtId="4" fontId="9" fillId="10" borderId="4" xfId="0" applyNumberFormat="1" applyFont="1" applyFill="1" applyBorder="1" applyAlignment="1">
      <alignment horizontal="center" vertical="center" wrapText="1"/>
    </xf>
    <xf numFmtId="4" fontId="21" fillId="11" borderId="4" xfId="0" applyNumberFormat="1" applyFont="1" applyFill="1" applyBorder="1" applyAlignment="1">
      <alignment horizontal="center" vertical="center" wrapText="1"/>
    </xf>
    <xf numFmtId="4" fontId="6" fillId="15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20" fillId="12" borderId="4" xfId="0" applyNumberFormat="1" applyFont="1" applyFill="1" applyBorder="1" applyAlignment="1">
      <alignment vertical="center" wrapText="1"/>
    </xf>
    <xf numFmtId="4" fontId="20" fillId="10" borderId="4" xfId="0" applyNumberFormat="1" applyFont="1" applyFill="1" applyBorder="1" applyAlignment="1">
      <alignment vertical="center" wrapText="1"/>
    </xf>
    <xf numFmtId="4" fontId="20" fillId="17" borderId="4" xfId="0" applyNumberFormat="1" applyFont="1" applyFill="1" applyBorder="1" applyAlignment="1">
      <alignment vertical="center" wrapText="1"/>
    </xf>
    <xf numFmtId="4" fontId="20" fillId="15" borderId="4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2" fontId="20" fillId="2" borderId="3" xfId="0" applyNumberFormat="1" applyFont="1" applyFill="1" applyBorder="1" applyAlignment="1">
      <alignment horizontal="center" wrapText="1"/>
    </xf>
    <xf numFmtId="2" fontId="21" fillId="12" borderId="3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42" fillId="0" borderId="3" xfId="0" applyNumberFormat="1" applyFont="1" applyBorder="1" applyAlignment="1">
      <alignment horizontal="center" vertical="center"/>
    </xf>
    <xf numFmtId="0" fontId="43" fillId="7" borderId="3" xfId="0" applyFont="1" applyFill="1" applyBorder="1" applyAlignment="1">
      <alignment horizontal="left" vertical="center" wrapText="1" indent="1"/>
    </xf>
    <xf numFmtId="4" fontId="43" fillId="7" borderId="4" xfId="0" applyNumberFormat="1" applyFont="1" applyFill="1" applyBorder="1" applyAlignment="1">
      <alignment horizontal="center" vertical="center" wrapText="1"/>
    </xf>
    <xf numFmtId="4" fontId="43" fillId="7" borderId="3" xfId="0" applyNumberFormat="1" applyFont="1" applyFill="1" applyBorder="1" applyAlignment="1">
      <alignment horizontal="center" vertical="center" wrapText="1"/>
    </xf>
    <xf numFmtId="3" fontId="6" fillId="12" borderId="6" xfId="1" applyNumberFormat="1" applyFont="1" applyFill="1" applyAlignment="1" applyProtection="1">
      <alignment horizontal="center" wrapText="1"/>
    </xf>
    <xf numFmtId="3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44" fillId="2" borderId="3" xfId="0" applyNumberFormat="1" applyFont="1" applyFill="1" applyBorder="1" applyAlignment="1" applyProtection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22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12" borderId="9" xfId="1" applyNumberFormat="1" applyFont="1" applyFill="1" applyBorder="1" applyAlignment="1" applyProtection="1">
      <alignment horizontal="center" vertical="center" wrapText="1"/>
    </xf>
    <xf numFmtId="0" fontId="9" fillId="12" borderId="1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12" borderId="1" xfId="0" applyNumberFormat="1" applyFont="1" applyFill="1" applyBorder="1" applyAlignment="1" applyProtection="1">
      <alignment horizontal="center" wrapText="1"/>
    </xf>
    <xf numFmtId="0" fontId="6" fillId="12" borderId="4" xfId="0" applyNumberFormat="1" applyFont="1" applyFill="1" applyBorder="1" applyAlignment="1" applyProtection="1">
      <alignment horizontal="center" wrapText="1"/>
    </xf>
    <xf numFmtId="0" fontId="24" fillId="12" borderId="1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</cellXfs>
  <cellStyles count="3">
    <cellStyle name="40% - Isticanje2" xfId="2" builtinId="35"/>
    <cellStyle name="Bilješka" xfId="1" builtinId="10"/>
    <cellStyle name="Normalno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topLeftCell="A5" workbookViewId="0">
      <selection activeCell="I13" sqref="I13"/>
    </sheetView>
  </sheetViews>
  <sheetFormatPr defaultRowHeight="14.4" x14ac:dyDescent="0.3"/>
  <cols>
    <col min="5" max="6" width="25.33203125" customWidth="1"/>
    <col min="7" max="7" width="15.6640625" customWidth="1"/>
    <col min="8" max="11" width="25.33203125" customWidth="1"/>
  </cols>
  <sheetData>
    <row r="1" spans="1:11" ht="42" customHeight="1" x14ac:dyDescent="0.3">
      <c r="A1" s="263" t="s">
        <v>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7.399999999999999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60">
        <v>7.5345000000000004</v>
      </c>
    </row>
    <row r="3" spans="1:11" ht="15.6" x14ac:dyDescent="0.3">
      <c r="A3" s="264" t="s">
        <v>16</v>
      </c>
      <c r="B3" s="264"/>
      <c r="C3" s="264"/>
      <c r="D3" s="264"/>
      <c r="E3" s="264"/>
      <c r="F3" s="264"/>
      <c r="G3" s="264"/>
      <c r="H3" s="264"/>
      <c r="I3" s="264"/>
      <c r="J3" s="265"/>
      <c r="K3" s="265"/>
    </row>
    <row r="4" spans="1:11" ht="17.399999999999999" x14ac:dyDescent="0.3">
      <c r="A4" s="24"/>
      <c r="B4" s="24"/>
      <c r="C4" s="24"/>
      <c r="D4" s="24"/>
      <c r="E4" s="24"/>
      <c r="F4" s="24"/>
      <c r="G4" s="24"/>
      <c r="H4" s="24"/>
      <c r="I4" s="24"/>
      <c r="J4" s="203"/>
      <c r="K4" s="5"/>
    </row>
    <row r="5" spans="1:11" ht="15.6" x14ac:dyDescent="0.3">
      <c r="A5" s="264" t="s">
        <v>21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7"/>
      <c r="K6" s="33" t="s">
        <v>30</v>
      </c>
    </row>
    <row r="7" spans="1:11" ht="26.4" x14ac:dyDescent="0.3">
      <c r="A7" s="27"/>
      <c r="B7" s="28"/>
      <c r="C7" s="28"/>
      <c r="D7" s="29"/>
      <c r="E7" s="30"/>
      <c r="F7" s="3" t="s">
        <v>31</v>
      </c>
      <c r="G7" s="3" t="s">
        <v>30</v>
      </c>
      <c r="H7" s="3" t="s">
        <v>29</v>
      </c>
      <c r="I7" s="3" t="s">
        <v>39</v>
      </c>
      <c r="J7" s="3" t="s">
        <v>40</v>
      </c>
      <c r="K7" s="3" t="s">
        <v>41</v>
      </c>
    </row>
    <row r="8" spans="1:11" x14ac:dyDescent="0.3">
      <c r="A8" s="267" t="s">
        <v>0</v>
      </c>
      <c r="B8" s="268"/>
      <c r="C8" s="268"/>
      <c r="D8" s="268"/>
      <c r="E8" s="269"/>
      <c r="F8" s="53">
        <f>+F9+F10</f>
        <v>7767055.1800000006</v>
      </c>
      <c r="G8" s="53">
        <f>+G9+G10</f>
        <v>1030865.3766009689</v>
      </c>
      <c r="H8" s="31">
        <f>H9+H10</f>
        <v>1091153</v>
      </c>
      <c r="I8" s="31">
        <f>+I9+I10</f>
        <v>1394038</v>
      </c>
      <c r="J8" s="31">
        <f t="shared" ref="J8:K8" si="0">J9+J10</f>
        <v>1290638</v>
      </c>
      <c r="K8" s="31">
        <f t="shared" si="0"/>
        <v>1290638</v>
      </c>
    </row>
    <row r="9" spans="1:11" x14ac:dyDescent="0.3">
      <c r="A9" s="270" t="s">
        <v>33</v>
      </c>
      <c r="B9" s="271"/>
      <c r="C9" s="271"/>
      <c r="D9" s="271"/>
      <c r="E9" s="262"/>
      <c r="F9" s="54">
        <v>7766653.6100000003</v>
      </c>
      <c r="G9" s="54">
        <f>+F9/K2</f>
        <v>1030812.0791027938</v>
      </c>
      <c r="H9" s="32">
        <f>1091153-50</f>
        <v>1091103</v>
      </c>
      <c r="I9" s="32">
        <f>336258+981230-50+16550+60000</f>
        <v>1393988</v>
      </c>
      <c r="J9" s="32">
        <f>+I9-103400</f>
        <v>1290588</v>
      </c>
      <c r="K9" s="32">
        <f>+J9</f>
        <v>1290588</v>
      </c>
    </row>
    <row r="10" spans="1:11" x14ac:dyDescent="0.3">
      <c r="A10" s="272" t="s">
        <v>34</v>
      </c>
      <c r="B10" s="262"/>
      <c r="C10" s="262"/>
      <c r="D10" s="262"/>
      <c r="E10" s="262"/>
      <c r="F10" s="54">
        <v>401.57</v>
      </c>
      <c r="G10" s="54">
        <f>+F10/K2</f>
        <v>53.297498175061378</v>
      </c>
      <c r="H10" s="32">
        <v>50</v>
      </c>
      <c r="I10" s="32">
        <v>50</v>
      </c>
      <c r="J10" s="32">
        <f>+I10</f>
        <v>50</v>
      </c>
      <c r="K10" s="32">
        <f>+J10</f>
        <v>50</v>
      </c>
    </row>
    <row r="11" spans="1:11" x14ac:dyDescent="0.3">
      <c r="A11" s="34" t="s">
        <v>1</v>
      </c>
      <c r="B11" s="42"/>
      <c r="C11" s="42"/>
      <c r="D11" s="42"/>
      <c r="E11" s="42"/>
      <c r="F11" s="53">
        <f>+F12+F13</f>
        <v>7766573.0100000007</v>
      </c>
      <c r="G11" s="53">
        <f>+G12+G13</f>
        <v>1030801.3816444356</v>
      </c>
      <c r="H11" s="31">
        <f t="shared" ref="H11:K11" si="1">H12+H13</f>
        <v>1091153</v>
      </c>
      <c r="I11" s="31">
        <f t="shared" si="1"/>
        <v>1394038</v>
      </c>
      <c r="J11" s="31">
        <f t="shared" si="1"/>
        <v>1290638</v>
      </c>
      <c r="K11" s="31">
        <f t="shared" si="1"/>
        <v>1290638</v>
      </c>
    </row>
    <row r="12" spans="1:11" x14ac:dyDescent="0.3">
      <c r="A12" s="273" t="s">
        <v>35</v>
      </c>
      <c r="B12" s="271"/>
      <c r="C12" s="271"/>
      <c r="D12" s="271"/>
      <c r="E12" s="271"/>
      <c r="F12" s="54">
        <v>7120149.6500000004</v>
      </c>
      <c r="G12" s="54">
        <f>+F12/K2</f>
        <v>945006.2578804167</v>
      </c>
      <c r="H12" s="32">
        <v>1066183</v>
      </c>
      <c r="I12" s="32">
        <f>1189118+16550+60000</f>
        <v>1265668</v>
      </c>
      <c r="J12" s="32">
        <f>+I12</f>
        <v>1265668</v>
      </c>
      <c r="K12" s="43">
        <f>+J12</f>
        <v>1265668</v>
      </c>
    </row>
    <row r="13" spans="1:11" x14ac:dyDescent="0.3">
      <c r="A13" s="261" t="s">
        <v>36</v>
      </c>
      <c r="B13" s="262"/>
      <c r="C13" s="262"/>
      <c r="D13" s="262"/>
      <c r="E13" s="262"/>
      <c r="F13" s="54">
        <v>646423.36</v>
      </c>
      <c r="G13" s="54">
        <f>+F13/K2</f>
        <v>85795.123764018834</v>
      </c>
      <c r="H13" s="44">
        <v>24970</v>
      </c>
      <c r="I13" s="44">
        <f>+H13+103400</f>
        <v>128370</v>
      </c>
      <c r="J13" s="44">
        <v>24970</v>
      </c>
      <c r="K13" s="43">
        <f>+J13</f>
        <v>24970</v>
      </c>
    </row>
    <row r="14" spans="1:11" x14ac:dyDescent="0.3">
      <c r="A14" s="274" t="s">
        <v>61</v>
      </c>
      <c r="B14" s="268"/>
      <c r="C14" s="268"/>
      <c r="D14" s="268"/>
      <c r="E14" s="268"/>
      <c r="F14" s="55">
        <f>F8-F11</f>
        <v>482.16999999992549</v>
      </c>
      <c r="G14" s="55">
        <f>+G8-G11</f>
        <v>63.994956533308141</v>
      </c>
      <c r="H14" s="31"/>
      <c r="I14" s="31">
        <f t="shared" ref="I14:K14" si="2">I8-I11</f>
        <v>0</v>
      </c>
      <c r="J14" s="31">
        <f t="shared" si="2"/>
        <v>0</v>
      </c>
      <c r="K14" s="31">
        <f t="shared" si="2"/>
        <v>0</v>
      </c>
    </row>
    <row r="15" spans="1:11" ht="17.399999999999999" x14ac:dyDescent="0.3">
      <c r="A15" s="24"/>
      <c r="B15" s="22"/>
      <c r="C15" s="22"/>
      <c r="D15" s="22"/>
      <c r="E15" s="22"/>
      <c r="F15" s="22"/>
      <c r="G15" s="22"/>
      <c r="H15" s="22"/>
      <c r="I15" s="23"/>
      <c r="J15" s="23"/>
      <c r="K15" s="23"/>
    </row>
    <row r="16" spans="1:11" ht="15.6" x14ac:dyDescent="0.3">
      <c r="A16" s="264" t="s">
        <v>22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</row>
    <row r="17" spans="1:11" ht="17.399999999999999" x14ac:dyDescent="0.3">
      <c r="A17" s="24"/>
      <c r="B17" s="22"/>
      <c r="C17" s="22"/>
      <c r="D17" s="22"/>
      <c r="E17" s="22"/>
      <c r="F17" s="22"/>
      <c r="G17" s="22"/>
      <c r="H17" s="22"/>
      <c r="I17" s="23"/>
      <c r="J17" s="23"/>
      <c r="K17" s="23"/>
    </row>
    <row r="18" spans="1:11" ht="26.4" x14ac:dyDescent="0.3">
      <c r="A18" s="27"/>
      <c r="B18" s="28"/>
      <c r="C18" s="28"/>
      <c r="D18" s="29"/>
      <c r="E18" s="30"/>
      <c r="F18" s="3" t="s">
        <v>31</v>
      </c>
      <c r="G18" s="3"/>
      <c r="H18" s="3" t="s">
        <v>29</v>
      </c>
      <c r="I18" s="3" t="s">
        <v>39</v>
      </c>
      <c r="J18" s="3" t="s">
        <v>40</v>
      </c>
      <c r="K18" s="3" t="s">
        <v>41</v>
      </c>
    </row>
    <row r="19" spans="1:11" x14ac:dyDescent="0.3">
      <c r="A19" s="261" t="s">
        <v>37</v>
      </c>
      <c r="B19" s="262"/>
      <c r="C19" s="262"/>
      <c r="D19" s="262"/>
      <c r="E19" s="262"/>
      <c r="F19" s="44"/>
      <c r="G19" s="44"/>
      <c r="H19" s="44"/>
      <c r="I19" s="44"/>
      <c r="J19" s="44"/>
      <c r="K19" s="43"/>
    </row>
    <row r="20" spans="1:11" x14ac:dyDescent="0.3">
      <c r="A20" s="261" t="s">
        <v>38</v>
      </c>
      <c r="B20" s="262"/>
      <c r="C20" s="262"/>
      <c r="D20" s="262"/>
      <c r="E20" s="262"/>
      <c r="F20" s="44"/>
      <c r="G20" s="44"/>
      <c r="H20" s="44"/>
      <c r="I20" s="44"/>
      <c r="J20" s="44"/>
      <c r="K20" s="43"/>
    </row>
    <row r="21" spans="1:11" x14ac:dyDescent="0.3">
      <c r="A21" s="274" t="s">
        <v>2</v>
      </c>
      <c r="B21" s="268"/>
      <c r="C21" s="268"/>
      <c r="D21" s="268"/>
      <c r="E21" s="268"/>
      <c r="F21" s="31">
        <f>F19-F20</f>
        <v>0</v>
      </c>
      <c r="G21" s="31"/>
      <c r="H21" s="31">
        <f t="shared" ref="H21:K21" si="3">H19-H20</f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</row>
    <row r="22" spans="1:11" x14ac:dyDescent="0.3">
      <c r="A22" s="274" t="s">
        <v>62</v>
      </c>
      <c r="B22" s="268"/>
      <c r="C22" s="268"/>
      <c r="D22" s="268"/>
      <c r="E22" s="268"/>
      <c r="F22" s="31">
        <f>F14+F21</f>
        <v>482.16999999992549</v>
      </c>
      <c r="G22" s="31"/>
      <c r="H22" s="31">
        <v>20.32</v>
      </c>
      <c r="I22" s="31">
        <f t="shared" ref="I22:K22" si="4">I14+I21</f>
        <v>0</v>
      </c>
      <c r="J22" s="31">
        <f t="shared" si="4"/>
        <v>0</v>
      </c>
      <c r="K22" s="31">
        <f t="shared" si="4"/>
        <v>0</v>
      </c>
    </row>
    <row r="23" spans="1:11" ht="17.399999999999999" x14ac:dyDescent="0.3">
      <c r="A23" s="21"/>
      <c r="B23" s="22"/>
      <c r="C23" s="22"/>
      <c r="D23" s="22"/>
      <c r="E23" s="22"/>
      <c r="F23" s="22"/>
      <c r="G23" s="22"/>
      <c r="H23" s="22"/>
      <c r="I23" s="23"/>
      <c r="J23" s="23"/>
      <c r="K23" s="23"/>
    </row>
    <row r="24" spans="1:11" ht="15.6" x14ac:dyDescent="0.3">
      <c r="A24" s="264" t="s">
        <v>63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</row>
    <row r="25" spans="1:11" ht="15.6" x14ac:dyDescent="0.3">
      <c r="A25" s="40"/>
      <c r="B25" s="41"/>
      <c r="C25" s="41"/>
      <c r="D25" s="41"/>
      <c r="E25" s="41"/>
      <c r="F25" s="41"/>
      <c r="G25" s="214"/>
      <c r="H25" s="41"/>
      <c r="I25" s="41"/>
      <c r="J25" s="41"/>
      <c r="K25" s="41"/>
    </row>
    <row r="26" spans="1:11" ht="26.4" x14ac:dyDescent="0.3">
      <c r="A26" s="27"/>
      <c r="B26" s="28"/>
      <c r="C26" s="28"/>
      <c r="D26" s="29"/>
      <c r="E26" s="30"/>
      <c r="F26" s="3" t="s">
        <v>31</v>
      </c>
      <c r="G26" s="3"/>
      <c r="H26" s="3" t="s">
        <v>29</v>
      </c>
      <c r="I26" s="3" t="s">
        <v>39</v>
      </c>
      <c r="J26" s="3" t="s">
        <v>40</v>
      </c>
      <c r="K26" s="3" t="s">
        <v>41</v>
      </c>
    </row>
    <row r="27" spans="1:11" ht="15" customHeight="1" x14ac:dyDescent="0.3">
      <c r="A27" s="277" t="s">
        <v>64</v>
      </c>
      <c r="B27" s="278"/>
      <c r="C27" s="278"/>
      <c r="D27" s="278"/>
      <c r="E27" s="279"/>
      <c r="F27" s="45">
        <v>0</v>
      </c>
      <c r="G27" s="45"/>
      <c r="H27" s="45">
        <v>0</v>
      </c>
      <c r="I27" s="45">
        <v>0</v>
      </c>
      <c r="J27" s="45">
        <v>0</v>
      </c>
      <c r="K27" s="46">
        <v>0</v>
      </c>
    </row>
    <row r="28" spans="1:11" ht="15" customHeight="1" x14ac:dyDescent="0.3">
      <c r="A28" s="274" t="s">
        <v>65</v>
      </c>
      <c r="B28" s="268"/>
      <c r="C28" s="268"/>
      <c r="D28" s="268"/>
      <c r="E28" s="268"/>
      <c r="F28" s="47">
        <f>F22+F27</f>
        <v>482.16999999992549</v>
      </c>
      <c r="G28" s="47"/>
      <c r="H28" s="47">
        <f t="shared" ref="H28:K28" si="5">H22+H27</f>
        <v>20.32</v>
      </c>
      <c r="I28" s="47">
        <f t="shared" si="5"/>
        <v>0</v>
      </c>
      <c r="J28" s="47">
        <f t="shared" si="5"/>
        <v>0</v>
      </c>
      <c r="K28" s="48">
        <f t="shared" si="5"/>
        <v>0</v>
      </c>
    </row>
    <row r="29" spans="1:11" ht="45" customHeight="1" x14ac:dyDescent="0.3">
      <c r="A29" s="267" t="s">
        <v>66</v>
      </c>
      <c r="B29" s="280"/>
      <c r="C29" s="280"/>
      <c r="D29" s="280"/>
      <c r="E29" s="281"/>
      <c r="F29" s="47">
        <f>F14+F21+F27-F28</f>
        <v>0</v>
      </c>
      <c r="G29" s="47"/>
      <c r="H29" s="47">
        <f t="shared" ref="H29:K29" si="6">H14+H21+H27-H28</f>
        <v>-20.32</v>
      </c>
      <c r="I29" s="47">
        <f t="shared" si="6"/>
        <v>0</v>
      </c>
      <c r="J29" s="47">
        <f t="shared" si="6"/>
        <v>0</v>
      </c>
      <c r="K29" s="48">
        <f t="shared" si="6"/>
        <v>0</v>
      </c>
    </row>
    <row r="30" spans="1:11" ht="15.6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x14ac:dyDescent="0.3">
      <c r="A31" s="275" t="s">
        <v>32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 ht="9" customHeight="1" x14ac:dyDescent="0.3"/>
  </sheetData>
  <mergeCells count="19">
    <mergeCell ref="A31:K31"/>
    <mergeCell ref="A21:E21"/>
    <mergeCell ref="A22:E22"/>
    <mergeCell ref="A24:K24"/>
    <mergeCell ref="A27:E27"/>
    <mergeCell ref="A28:E28"/>
    <mergeCell ref="A29:E29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opLeftCell="A6" workbookViewId="0">
      <selection activeCell="J18" sqref="J18"/>
    </sheetView>
  </sheetViews>
  <sheetFormatPr defaultRowHeight="14.4" x14ac:dyDescent="0.3"/>
  <cols>
    <col min="2" max="2" width="9.77734375" style="62" customWidth="1"/>
    <col min="3" max="3" width="34.88671875" customWidth="1"/>
    <col min="4" max="8" width="18.6640625" style="59" customWidth="1"/>
    <col min="9" max="9" width="10" bestFit="1" customWidth="1"/>
    <col min="10" max="10" width="27.44140625" customWidth="1"/>
    <col min="11" max="11" width="29.21875" customWidth="1"/>
  </cols>
  <sheetData>
    <row r="1" spans="1:9" ht="42" customHeight="1" x14ac:dyDescent="0.3">
      <c r="B1" s="264" t="s">
        <v>125</v>
      </c>
      <c r="C1" s="264"/>
      <c r="D1" s="264"/>
      <c r="E1" s="264"/>
      <c r="F1" s="264"/>
      <c r="G1" s="264"/>
      <c r="H1" s="264"/>
    </row>
    <row r="2" spans="1:9" ht="18" customHeight="1" x14ac:dyDescent="0.3">
      <c r="B2" s="61"/>
      <c r="C2" s="4"/>
      <c r="D2" s="56"/>
      <c r="E2" s="56"/>
      <c r="F2" s="56"/>
      <c r="G2" s="56"/>
      <c r="H2" s="56"/>
    </row>
    <row r="3" spans="1:9" ht="15.75" customHeight="1" x14ac:dyDescent="0.3">
      <c r="B3" s="264" t="s">
        <v>16</v>
      </c>
      <c r="C3" s="264"/>
      <c r="D3" s="264"/>
      <c r="E3" s="264"/>
      <c r="F3" s="264"/>
      <c r="G3" s="264"/>
      <c r="H3" s="264"/>
    </row>
    <row r="4" spans="1:9" ht="17.399999999999999" x14ac:dyDescent="0.3">
      <c r="B4" s="61"/>
      <c r="C4" s="4"/>
      <c r="D4" s="56"/>
      <c r="E4" s="56"/>
      <c r="F4" s="56"/>
      <c r="G4" s="56"/>
      <c r="H4" s="58"/>
    </row>
    <row r="5" spans="1:9" ht="18" customHeight="1" x14ac:dyDescent="0.3">
      <c r="B5" s="264" t="s">
        <v>3</v>
      </c>
      <c r="C5" s="264"/>
      <c r="D5" s="264"/>
      <c r="E5" s="264"/>
      <c r="F5" s="264"/>
      <c r="G5" s="264"/>
      <c r="H5" s="264"/>
    </row>
    <row r="6" spans="1:9" ht="17.399999999999999" x14ac:dyDescent="0.3">
      <c r="B6" s="61"/>
      <c r="C6" s="4"/>
      <c r="D6" s="56"/>
      <c r="E6" s="56"/>
      <c r="F6" s="56"/>
      <c r="G6" s="56"/>
      <c r="H6" s="58"/>
    </row>
    <row r="7" spans="1:9" ht="25.2" customHeight="1" x14ac:dyDescent="0.3">
      <c r="B7" s="264" t="s">
        <v>42</v>
      </c>
      <c r="C7" s="264"/>
      <c r="D7" s="264"/>
      <c r="E7" s="264"/>
      <c r="F7" s="264"/>
      <c r="G7" s="264"/>
      <c r="H7" s="264"/>
    </row>
    <row r="8" spans="1:9" ht="15.6" x14ac:dyDescent="0.3">
      <c r="B8" s="61"/>
      <c r="C8" s="51"/>
      <c r="D8" s="57"/>
      <c r="E8" s="57"/>
      <c r="F8" s="57"/>
      <c r="G8" s="57"/>
      <c r="H8" s="57"/>
    </row>
    <row r="9" spans="1:9" ht="15.6" x14ac:dyDescent="0.3">
      <c r="B9" s="61"/>
      <c r="C9" s="51"/>
      <c r="D9" s="60"/>
      <c r="E9" s="63"/>
      <c r="F9" s="60"/>
      <c r="G9" s="60"/>
      <c r="H9" s="60"/>
    </row>
    <row r="10" spans="1:9" ht="24.6" x14ac:dyDescent="0.3">
      <c r="A10" s="66" t="str">
        <f>+A27</f>
        <v>Razred</v>
      </c>
      <c r="B10" s="67" t="s">
        <v>5</v>
      </c>
      <c r="C10" s="65" t="s">
        <v>6</v>
      </c>
      <c r="D10" s="65" t="s">
        <v>28</v>
      </c>
      <c r="E10" s="65" t="s">
        <v>29</v>
      </c>
      <c r="F10" s="204" t="s">
        <v>26</v>
      </c>
      <c r="G10" s="204" t="s">
        <v>23</v>
      </c>
      <c r="H10" s="204" t="s">
        <v>27</v>
      </c>
      <c r="I10" s="117"/>
    </row>
    <row r="11" spans="1:9" x14ac:dyDescent="0.3">
      <c r="A11" s="285">
        <v>6</v>
      </c>
      <c r="B11" s="286"/>
      <c r="C11" s="81" t="s">
        <v>68</v>
      </c>
      <c r="D11" s="205">
        <f>+D12+D13+D14+D15+D16</f>
        <v>1030812.0600000002</v>
      </c>
      <c r="E11" s="205">
        <f>+E12+E13+E14+E15+E16</f>
        <v>1091083</v>
      </c>
      <c r="F11" s="206">
        <f>+F12+F13+F14+F15+F16</f>
        <v>1394078</v>
      </c>
      <c r="G11" s="206">
        <f>+G12+G13+G14+G15+G16</f>
        <v>1214028</v>
      </c>
      <c r="H11" s="206">
        <f t="shared" ref="H11:H19" si="0">+G11</f>
        <v>1214028</v>
      </c>
    </row>
    <row r="12" spans="1:9" ht="26.4" x14ac:dyDescent="0.3">
      <c r="A12" s="82"/>
      <c r="B12" s="88">
        <v>63</v>
      </c>
      <c r="C12" s="89" t="s">
        <v>69</v>
      </c>
      <c r="D12" s="207">
        <v>759455.91</v>
      </c>
      <c r="E12" s="207">
        <f>789200+36046+19000</f>
        <v>844246</v>
      </c>
      <c r="F12" s="208">
        <f>871000+69730+19000</f>
        <v>959730</v>
      </c>
      <c r="G12" s="208">
        <f>+F12</f>
        <v>959730</v>
      </c>
      <c r="H12" s="208">
        <f t="shared" si="0"/>
        <v>959730</v>
      </c>
    </row>
    <row r="13" spans="1:9" x14ac:dyDescent="0.3">
      <c r="A13" s="83"/>
      <c r="B13" s="90">
        <v>64</v>
      </c>
      <c r="C13" s="89" t="s">
        <v>70</v>
      </c>
      <c r="D13" s="209">
        <v>0.04</v>
      </c>
      <c r="E13" s="209">
        <v>10</v>
      </c>
      <c r="F13" s="208">
        <v>10</v>
      </c>
      <c r="G13" s="208">
        <f>+F13</f>
        <v>10</v>
      </c>
      <c r="H13" s="208">
        <f t="shared" si="0"/>
        <v>10</v>
      </c>
    </row>
    <row r="14" spans="1:9" ht="39.6" x14ac:dyDescent="0.3">
      <c r="A14" s="83"/>
      <c r="B14" s="90">
        <v>65</v>
      </c>
      <c r="C14" s="89" t="s">
        <v>71</v>
      </c>
      <c r="D14" s="207">
        <v>16719.16</v>
      </c>
      <c r="E14" s="207">
        <v>18000</v>
      </c>
      <c r="F14" s="208">
        <v>20000</v>
      </c>
      <c r="G14" s="208">
        <f>+F14</f>
        <v>20000</v>
      </c>
      <c r="H14" s="208">
        <f t="shared" si="0"/>
        <v>20000</v>
      </c>
    </row>
    <row r="15" spans="1:9" ht="39.6" x14ac:dyDescent="0.3">
      <c r="A15" s="83"/>
      <c r="B15" s="90">
        <v>66</v>
      </c>
      <c r="C15" s="89" t="s">
        <v>72</v>
      </c>
      <c r="D15" s="207">
        <v>63524.17</v>
      </c>
      <c r="E15" s="207">
        <v>2000</v>
      </c>
      <c r="F15" s="208">
        <v>1430</v>
      </c>
      <c r="G15" s="208">
        <f>+F15</f>
        <v>1430</v>
      </c>
      <c r="H15" s="208">
        <f t="shared" si="0"/>
        <v>1430</v>
      </c>
    </row>
    <row r="16" spans="1:9" ht="26.4" x14ac:dyDescent="0.3">
      <c r="A16" s="83"/>
      <c r="B16" s="91">
        <v>67</v>
      </c>
      <c r="C16" s="89" t="s">
        <v>75</v>
      </c>
      <c r="D16" s="207">
        <v>191112.78</v>
      </c>
      <c r="E16" s="207">
        <v>226827</v>
      </c>
      <c r="F16" s="208">
        <f>336258+'POSEBNI DIO'!F44</f>
        <v>412908</v>
      </c>
      <c r="G16" s="208">
        <v>232858</v>
      </c>
      <c r="H16" s="208">
        <f t="shared" si="0"/>
        <v>232858</v>
      </c>
    </row>
    <row r="17" spans="1:8" ht="27" customHeight="1" x14ac:dyDescent="0.3">
      <c r="A17" s="287">
        <v>7</v>
      </c>
      <c r="B17" s="288"/>
      <c r="C17" s="84" t="s">
        <v>73</v>
      </c>
      <c r="D17" s="249">
        <f>+D18</f>
        <v>53.297498175061378</v>
      </c>
      <c r="E17" s="210">
        <v>50</v>
      </c>
      <c r="F17" s="206">
        <f>+F18</f>
        <v>60</v>
      </c>
      <c r="G17" s="206">
        <f>+F17</f>
        <v>60</v>
      </c>
      <c r="H17" s="206">
        <f t="shared" si="0"/>
        <v>60</v>
      </c>
    </row>
    <row r="18" spans="1:8" ht="26.4" x14ac:dyDescent="0.3">
      <c r="A18" s="85"/>
      <c r="B18" s="86">
        <v>72</v>
      </c>
      <c r="C18" s="87" t="s">
        <v>74</v>
      </c>
      <c r="D18" s="248">
        <f>401.57/7.5345</f>
        <v>53.297498175061378</v>
      </c>
      <c r="E18" s="211">
        <v>50</v>
      </c>
      <c r="F18" s="212">
        <v>60</v>
      </c>
      <c r="G18" s="212">
        <f>+F18</f>
        <v>60</v>
      </c>
      <c r="H18" s="213">
        <f t="shared" si="0"/>
        <v>60</v>
      </c>
    </row>
    <row r="19" spans="1:8" ht="15.6" x14ac:dyDescent="0.3">
      <c r="B19" s="61"/>
      <c r="C19" s="51"/>
      <c r="D19" s="63">
        <f>+D17+D11</f>
        <v>1030865.3574981752</v>
      </c>
      <c r="E19" s="63">
        <f>+E17+E11</f>
        <v>1091133</v>
      </c>
      <c r="F19" s="63">
        <f>+F11+F18</f>
        <v>1394138</v>
      </c>
      <c r="G19" s="63">
        <f>+G11</f>
        <v>1214028</v>
      </c>
      <c r="H19" s="63">
        <f t="shared" si="0"/>
        <v>1214028</v>
      </c>
    </row>
    <row r="20" spans="1:8" ht="15.75" customHeight="1" x14ac:dyDescent="0.3">
      <c r="B20" s="61"/>
      <c r="C20" s="51"/>
      <c r="D20" s="246"/>
      <c r="E20" s="57"/>
      <c r="F20" s="57"/>
      <c r="G20" s="57"/>
      <c r="H20" s="57"/>
    </row>
    <row r="21" spans="1:8" ht="15.75" customHeight="1" x14ac:dyDescent="0.3">
      <c r="B21" s="61"/>
      <c r="C21" s="247"/>
      <c r="D21" s="57"/>
      <c r="E21" s="57"/>
      <c r="F21" s="57"/>
      <c r="G21" s="57"/>
      <c r="H21" s="57"/>
    </row>
    <row r="22" spans="1:8" ht="15.75" customHeight="1" x14ac:dyDescent="0.3">
      <c r="B22" s="61"/>
      <c r="C22" s="4"/>
      <c r="D22" s="56"/>
      <c r="E22" s="56"/>
      <c r="F22" s="56"/>
      <c r="G22" s="56"/>
      <c r="H22" s="58"/>
    </row>
    <row r="25" spans="1:8" ht="15.6" x14ac:dyDescent="0.3">
      <c r="B25" s="264" t="s">
        <v>43</v>
      </c>
      <c r="C25" s="284"/>
      <c r="D25" s="284"/>
      <c r="E25" s="284"/>
      <c r="F25" s="284"/>
      <c r="G25" s="284"/>
      <c r="H25" s="284"/>
    </row>
    <row r="26" spans="1:8" ht="17.399999999999999" x14ac:dyDescent="0.3">
      <c r="A26" s="24"/>
      <c r="B26" s="24"/>
      <c r="C26" s="24"/>
      <c r="D26" s="24"/>
      <c r="E26" s="24"/>
      <c r="F26" s="24"/>
      <c r="G26" s="5"/>
      <c r="H26" s="5"/>
    </row>
    <row r="27" spans="1:8" ht="26.4" x14ac:dyDescent="0.3">
      <c r="A27" s="20" t="s">
        <v>4</v>
      </c>
      <c r="B27" s="19" t="s">
        <v>5</v>
      </c>
      <c r="C27" s="19" t="s">
        <v>6</v>
      </c>
      <c r="D27" s="19" t="s">
        <v>28</v>
      </c>
      <c r="E27" s="20" t="s">
        <v>29</v>
      </c>
      <c r="F27" s="20" t="s">
        <v>26</v>
      </c>
      <c r="G27" s="20" t="s">
        <v>23</v>
      </c>
      <c r="H27" s="20" t="s">
        <v>27</v>
      </c>
    </row>
    <row r="28" spans="1:8" x14ac:dyDescent="0.3">
      <c r="A28" s="282">
        <v>3</v>
      </c>
      <c r="B28" s="283"/>
      <c r="C28" s="68" t="s">
        <v>7</v>
      </c>
      <c r="D28" s="75">
        <f>+D29+D30+D31+D32</f>
        <v>945006.26</v>
      </c>
      <c r="E28" s="182">
        <f>+E29+E30+E31+E32+E33</f>
        <v>1066083</v>
      </c>
      <c r="F28" s="187">
        <f>+F29+F30+F31+F32+F33</f>
        <v>1265768</v>
      </c>
      <c r="G28" s="185">
        <f>+G29+G30+G31+G32+G33</f>
        <v>1189118</v>
      </c>
      <c r="H28" s="69">
        <f>+G28</f>
        <v>1189118</v>
      </c>
    </row>
    <row r="29" spans="1:8" x14ac:dyDescent="0.3">
      <c r="A29" s="11"/>
      <c r="B29" s="18">
        <v>31</v>
      </c>
      <c r="C29" s="18" t="s">
        <v>8</v>
      </c>
      <c r="D29" s="92">
        <v>796565.33</v>
      </c>
      <c r="E29" s="183">
        <v>872513</v>
      </c>
      <c r="F29" s="93">
        <f>+'POSEBNI DIO'!F16+'POSEBNI DIO'!F38+'POSEBNI DIO'!F54+'POSEBNI DIO'!F59+'POSEBNI DIO'!F63</f>
        <v>953300</v>
      </c>
      <c r="G29" s="93">
        <f>+'POSEBNI DIO'!G16+'POSEBNI DIO'!G38+'POSEBNI DIO'!G54+'POSEBNI DIO'!G59+'POSEBNI DIO'!G63</f>
        <v>953300</v>
      </c>
      <c r="H29" s="93">
        <f>+'POSEBNI DIO'!H16+'POSEBNI DIO'!H38+'POSEBNI DIO'!H54+'POSEBNI DIO'!H59+'POSEBNI DIO'!H63</f>
        <v>953300</v>
      </c>
    </row>
    <row r="30" spans="1:8" x14ac:dyDescent="0.3">
      <c r="A30" s="12"/>
      <c r="B30" s="13">
        <v>32</v>
      </c>
      <c r="C30" s="13" t="s">
        <v>18</v>
      </c>
      <c r="D30" s="92">
        <v>100935.91</v>
      </c>
      <c r="E30" s="183">
        <v>120941</v>
      </c>
      <c r="F30" s="93">
        <f>+'POSEBNI DIO'!F11+'POSEBNI DIO'!F17+'POSEBNI DIO'!F22+'POSEBNI DIO'!F26+'POSEBNI DIO'!F39+'POSEBNI DIO'!F55+'POSEBNI DIO'!F60+'POSEBNI DIO'!F64+'POSEBNI DIO'!F69+'POSEBNI DIO'!F44</f>
        <v>190288</v>
      </c>
      <c r="G30" s="93">
        <f>+'POSEBNI DIO'!G11+'POSEBNI DIO'!G17+'POSEBNI DIO'!G22+'POSEBNI DIO'!G26+'POSEBNI DIO'!G39+'POSEBNI DIO'!G55+'POSEBNI DIO'!G60+'POSEBNI DIO'!G64+'POSEBNI DIO'!G69</f>
        <v>113638</v>
      </c>
      <c r="H30" s="93">
        <f>+'POSEBNI DIO'!H11+'POSEBNI DIO'!H17+'POSEBNI DIO'!H22+'POSEBNI DIO'!H26+'POSEBNI DIO'!H39+'POSEBNI DIO'!H55+'POSEBNI DIO'!H60+'POSEBNI DIO'!H64+'POSEBNI DIO'!H69</f>
        <v>113638</v>
      </c>
    </row>
    <row r="31" spans="1:8" x14ac:dyDescent="0.3">
      <c r="A31" s="12"/>
      <c r="B31" s="13">
        <v>34</v>
      </c>
      <c r="C31" s="13" t="s">
        <v>76</v>
      </c>
      <c r="D31" s="92">
        <v>2775.41</v>
      </c>
      <c r="E31" s="183">
        <v>450</v>
      </c>
      <c r="F31" s="93">
        <f>+'POSEBNI DIO'!F12</f>
        <v>450</v>
      </c>
      <c r="G31" s="93">
        <f>+'POSEBNI DIO'!G12</f>
        <v>450</v>
      </c>
      <c r="H31" s="93">
        <f>+'POSEBNI DIO'!H12</f>
        <v>450</v>
      </c>
    </row>
    <row r="32" spans="1:8" x14ac:dyDescent="0.3">
      <c r="A32" s="12"/>
      <c r="B32" s="13">
        <v>37</v>
      </c>
      <c r="C32" s="13" t="s">
        <v>130</v>
      </c>
      <c r="D32" s="92">
        <v>44729.61</v>
      </c>
      <c r="E32" s="183">
        <v>71454</v>
      </c>
      <c r="F32" s="93">
        <f>+'POSEBNI DIO'!F76+'POSEBNI DIO'!F43+'POSEBNI DIO'!F40</f>
        <v>121000</v>
      </c>
      <c r="G32" s="93">
        <f>+'POSEBNI DIO'!G76+'POSEBNI DIO'!G43+'POSEBNI DIO'!G40</f>
        <v>121000</v>
      </c>
      <c r="H32" s="93">
        <f>+'POSEBNI DIO'!H76+'POSEBNI DIO'!H43+'POSEBNI DIO'!H40</f>
        <v>121000</v>
      </c>
    </row>
    <row r="33" spans="1:8" x14ac:dyDescent="0.3">
      <c r="A33" s="12"/>
      <c r="B33" s="13">
        <v>38</v>
      </c>
      <c r="C33" s="13"/>
      <c r="D33" s="94"/>
      <c r="E33" s="183">
        <v>725</v>
      </c>
      <c r="F33" s="93">
        <v>730</v>
      </c>
      <c r="G33" s="93">
        <v>730</v>
      </c>
      <c r="H33" s="93">
        <v>730</v>
      </c>
    </row>
    <row r="34" spans="1:8" ht="26.4" x14ac:dyDescent="0.3">
      <c r="A34" s="70">
        <v>4</v>
      </c>
      <c r="B34" s="71"/>
      <c r="C34" s="78" t="s">
        <v>9</v>
      </c>
      <c r="D34" s="79">
        <f>D35+D36</f>
        <v>85795.12</v>
      </c>
      <c r="E34" s="184">
        <f t="shared" ref="E34:H34" si="1">E35</f>
        <v>24970</v>
      </c>
      <c r="F34" s="80">
        <f>F35</f>
        <v>128370</v>
      </c>
      <c r="G34" s="186">
        <f t="shared" si="1"/>
        <v>24970</v>
      </c>
      <c r="H34" s="80">
        <f t="shared" si="1"/>
        <v>24970</v>
      </c>
    </row>
    <row r="35" spans="1:8" ht="26.4" x14ac:dyDescent="0.3">
      <c r="A35" s="16"/>
      <c r="B35" s="18">
        <v>42</v>
      </c>
      <c r="C35" s="95" t="s">
        <v>10</v>
      </c>
      <c r="D35" s="92">
        <v>24071.47</v>
      </c>
      <c r="E35" s="183">
        <v>24970</v>
      </c>
      <c r="F35" s="93">
        <f>+'POSEBNI DIO'!F81+'POSEBNI DIO'!F86+19000</f>
        <v>128370</v>
      </c>
      <c r="G35" s="93">
        <f>+'POSEBNI DIO'!G81+'POSEBNI DIO'!G86+19000</f>
        <v>24970</v>
      </c>
      <c r="H35" s="93">
        <f>+'POSEBNI DIO'!H81+'POSEBNI DIO'!H86+19000</f>
        <v>24970</v>
      </c>
    </row>
    <row r="36" spans="1:8" x14ac:dyDescent="0.3">
      <c r="A36" s="73"/>
      <c r="B36" s="96"/>
      <c r="C36" s="97"/>
      <c r="D36" s="98">
        <v>61723.65</v>
      </c>
      <c r="E36" s="99">
        <v>0</v>
      </c>
      <c r="F36" s="188">
        <f>+F34+F28</f>
        <v>1394138</v>
      </c>
      <c r="G36" s="181">
        <f t="shared" ref="G36:H36" si="2">+G34+G28</f>
        <v>1214088</v>
      </c>
      <c r="H36" s="181">
        <f t="shared" si="2"/>
        <v>1214088</v>
      </c>
    </row>
    <row r="37" spans="1:8" x14ac:dyDescent="0.3">
      <c r="A37" s="73"/>
      <c r="B37" s="180"/>
      <c r="C37" s="97"/>
      <c r="D37" s="98"/>
      <c r="E37" s="97"/>
      <c r="F37" s="181"/>
      <c r="G37" s="181">
        <f>+G34+G28</f>
        <v>1214088</v>
      </c>
      <c r="H37" s="181">
        <f>+G37</f>
        <v>1214088</v>
      </c>
    </row>
    <row r="38" spans="1:8" x14ac:dyDescent="0.3">
      <c r="D38" s="250">
        <f>+D34+D28</f>
        <v>1030801.38</v>
      </c>
      <c r="E38" s="251">
        <f>+E34+E28</f>
        <v>1091053</v>
      </c>
      <c r="F38" s="251">
        <f>+F34+F28</f>
        <v>1394138</v>
      </c>
      <c r="G38" s="250">
        <f>+G34+G28</f>
        <v>1214088</v>
      </c>
      <c r="H38" s="251">
        <f>+H35+H28</f>
        <v>1214088</v>
      </c>
    </row>
    <row r="39" spans="1:8" x14ac:dyDescent="0.3">
      <c r="G39" s="126"/>
    </row>
  </sheetData>
  <mergeCells count="8">
    <mergeCell ref="A28:B28"/>
    <mergeCell ref="B25:H25"/>
    <mergeCell ref="B1:H1"/>
    <mergeCell ref="B3:H3"/>
    <mergeCell ref="B5:H5"/>
    <mergeCell ref="B7:H7"/>
    <mergeCell ref="A11:B11"/>
    <mergeCell ref="A17:B1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7"/>
  <sheetViews>
    <sheetView workbookViewId="0">
      <selection activeCell="A5" sqref="A5:F5"/>
    </sheetView>
  </sheetViews>
  <sheetFormatPr defaultRowHeight="14.4" x14ac:dyDescent="0.3"/>
  <cols>
    <col min="1" max="1" width="32.77734375" customWidth="1"/>
    <col min="2" max="2" width="17.77734375" customWidth="1"/>
    <col min="3" max="3" width="28" customWidth="1"/>
    <col min="4" max="4" width="25.33203125" style="201" customWidth="1"/>
    <col min="5" max="5" width="21.33203125" customWidth="1"/>
    <col min="6" max="6" width="21.77734375" customWidth="1"/>
    <col min="8" max="8" width="14.33203125" customWidth="1"/>
    <col min="9" max="9" width="17.21875" customWidth="1"/>
  </cols>
  <sheetData>
    <row r="1" spans="1:6" ht="42" customHeight="1" x14ac:dyDescent="0.3">
      <c r="A1" s="264" t="s">
        <v>131</v>
      </c>
      <c r="B1" s="264"/>
      <c r="C1" s="264"/>
      <c r="D1" s="264"/>
      <c r="E1" s="264"/>
      <c r="F1" s="264"/>
    </row>
    <row r="2" spans="1:6" ht="18" customHeight="1" x14ac:dyDescent="0.3">
      <c r="A2" s="24"/>
      <c r="B2" s="24"/>
      <c r="C2" s="24"/>
      <c r="D2" s="191"/>
      <c r="E2" s="24"/>
      <c r="F2" s="24"/>
    </row>
    <row r="3" spans="1:6" ht="15.75" customHeight="1" x14ac:dyDescent="0.3">
      <c r="A3" s="264" t="s">
        <v>16</v>
      </c>
      <c r="B3" s="264"/>
      <c r="C3" s="264"/>
      <c r="D3" s="264"/>
      <c r="E3" s="264"/>
      <c r="F3" s="264"/>
    </row>
    <row r="4" spans="1:6" ht="17.399999999999999" x14ac:dyDescent="0.3">
      <c r="B4" s="24"/>
      <c r="C4" s="24"/>
      <c r="D4" s="191"/>
      <c r="E4" s="5"/>
      <c r="F4" s="5"/>
    </row>
    <row r="5" spans="1:6" ht="18" customHeight="1" x14ac:dyDescent="0.3">
      <c r="A5" s="264" t="s">
        <v>3</v>
      </c>
      <c r="B5" s="264"/>
      <c r="C5" s="264"/>
      <c r="D5" s="264"/>
      <c r="E5" s="264"/>
      <c r="F5" s="264"/>
    </row>
    <row r="6" spans="1:6" ht="17.399999999999999" x14ac:dyDescent="0.3">
      <c r="A6" s="24"/>
      <c r="B6" s="24"/>
      <c r="C6" s="24"/>
      <c r="D6" s="191"/>
      <c r="E6" s="5"/>
      <c r="F6" s="5"/>
    </row>
    <row r="7" spans="1:6" ht="15.75" customHeight="1" x14ac:dyDescent="0.3">
      <c r="A7" s="264" t="s">
        <v>44</v>
      </c>
      <c r="B7" s="264"/>
      <c r="C7" s="264"/>
      <c r="D7" s="264"/>
      <c r="E7" s="264"/>
      <c r="F7" s="264"/>
    </row>
    <row r="8" spans="1:6" ht="15.75" customHeight="1" x14ac:dyDescent="0.3">
      <c r="A8" s="51"/>
      <c r="B8" s="51"/>
      <c r="C8" s="51"/>
      <c r="D8" s="192"/>
      <c r="E8" s="51"/>
      <c r="F8" s="51"/>
    </row>
    <row r="9" spans="1:6" ht="25.8" customHeight="1" x14ac:dyDescent="0.3">
      <c r="A9" s="102" t="s">
        <v>46</v>
      </c>
      <c r="B9" s="103" t="s">
        <v>28</v>
      </c>
      <c r="C9" s="102" t="s">
        <v>29</v>
      </c>
      <c r="D9" s="193" t="s">
        <v>26</v>
      </c>
      <c r="E9" s="102" t="s">
        <v>23</v>
      </c>
      <c r="F9" s="102" t="s">
        <v>27</v>
      </c>
    </row>
    <row r="10" spans="1:6" ht="15.75" customHeight="1" x14ac:dyDescent="0.3">
      <c r="A10" s="104" t="s">
        <v>0</v>
      </c>
      <c r="B10" s="113">
        <f>B11+B24</f>
        <v>1030821.5714732233</v>
      </c>
      <c r="C10" s="105">
        <f>C11+C24</f>
        <v>1091133</v>
      </c>
      <c r="D10" s="194">
        <f>D11+D24</f>
        <v>1394138</v>
      </c>
      <c r="E10" s="105">
        <f>E11+E24</f>
        <v>1214088</v>
      </c>
      <c r="F10" s="105">
        <f>F11+F24</f>
        <v>1214088</v>
      </c>
    </row>
    <row r="11" spans="1:6" ht="15.75" customHeight="1" x14ac:dyDescent="0.3">
      <c r="A11" s="72" t="s">
        <v>90</v>
      </c>
      <c r="B11" s="111">
        <f>SUM(B12:B18)+B19</f>
        <v>1030821.5714732233</v>
      </c>
      <c r="C11" s="106">
        <f>SUM(C12:C18)+C20</f>
        <v>1091133</v>
      </c>
      <c r="D11" s="195">
        <f>SUM(D12:D18)</f>
        <v>1394138</v>
      </c>
      <c r="E11" s="256">
        <f>SUM(E12:E18)</f>
        <v>1214088</v>
      </c>
      <c r="F11" s="256">
        <f>SUM(F12:F18)</f>
        <v>1214088</v>
      </c>
    </row>
    <row r="12" spans="1:6" x14ac:dyDescent="0.3">
      <c r="A12" s="108" t="s">
        <v>91</v>
      </c>
      <c r="B12" s="77">
        <v>100717.78</v>
      </c>
      <c r="C12" s="9">
        <v>109366</v>
      </c>
      <c r="D12" s="196">
        <f>+D34+D47</f>
        <v>316050</v>
      </c>
      <c r="E12" s="257">
        <f t="shared" ref="E12:F12" si="0">+E34+E47</f>
        <v>136000</v>
      </c>
      <c r="F12" s="257">
        <f t="shared" si="0"/>
        <v>136000</v>
      </c>
    </row>
    <row r="13" spans="1:6" x14ac:dyDescent="0.3">
      <c r="A13" s="107" t="s">
        <v>84</v>
      </c>
      <c r="B13" s="77">
        <v>2208.2399999999998</v>
      </c>
      <c r="C13" s="9">
        <v>2060</v>
      </c>
      <c r="D13" s="196">
        <f>+D35</f>
        <v>1500</v>
      </c>
      <c r="E13" s="257">
        <f t="shared" ref="E13:F13" si="1">+E35</f>
        <v>1500</v>
      </c>
      <c r="F13" s="257">
        <f t="shared" si="1"/>
        <v>1500</v>
      </c>
    </row>
    <row r="14" spans="1:6" x14ac:dyDescent="0.3">
      <c r="A14" s="107" t="s">
        <v>85</v>
      </c>
      <c r="B14" s="77">
        <v>69943.740000000005</v>
      </c>
      <c r="C14" s="9">
        <v>70208</v>
      </c>
      <c r="D14" s="196">
        <f>+D41+D46</f>
        <v>70208</v>
      </c>
      <c r="E14" s="257">
        <f t="shared" ref="E14:F14" si="2">+E41+E46</f>
        <v>70208</v>
      </c>
      <c r="F14" s="257">
        <f t="shared" si="2"/>
        <v>70208</v>
      </c>
    </row>
    <row r="15" spans="1:6" x14ac:dyDescent="0.3">
      <c r="A15" s="107" t="s">
        <v>86</v>
      </c>
      <c r="B15" s="77">
        <v>172.54</v>
      </c>
      <c r="C15" s="9">
        <v>100</v>
      </c>
      <c r="D15" s="196">
        <f>+D37</f>
        <v>100</v>
      </c>
      <c r="E15" s="257">
        <f t="shared" ref="E15:F15" si="3">+E37</f>
        <v>100</v>
      </c>
      <c r="F15" s="257">
        <f t="shared" si="3"/>
        <v>100</v>
      </c>
    </row>
    <row r="16" spans="1:6" x14ac:dyDescent="0.3">
      <c r="A16" s="107" t="s">
        <v>87</v>
      </c>
      <c r="B16" s="77">
        <v>20278.72</v>
      </c>
      <c r="C16" s="9">
        <v>25517</v>
      </c>
      <c r="D16" s="196">
        <f>+D38</f>
        <v>26550</v>
      </c>
      <c r="E16" s="257">
        <f t="shared" ref="E16:F16" si="4">+E38</f>
        <v>26550</v>
      </c>
      <c r="F16" s="257">
        <f t="shared" si="4"/>
        <v>26550</v>
      </c>
    </row>
    <row r="17" spans="1:8" ht="26.4" x14ac:dyDescent="0.3">
      <c r="A17" s="107" t="s">
        <v>88</v>
      </c>
      <c r="B17" s="77">
        <v>727249.92000000004</v>
      </c>
      <c r="C17" s="9">
        <v>789200</v>
      </c>
      <c r="D17" s="196">
        <f>+D39</f>
        <v>871000</v>
      </c>
      <c r="E17" s="257">
        <f t="shared" ref="E17:F17" si="5">+E39</f>
        <v>871000</v>
      </c>
      <c r="F17" s="257">
        <f t="shared" si="5"/>
        <v>871000</v>
      </c>
    </row>
    <row r="18" spans="1:8" x14ac:dyDescent="0.3">
      <c r="A18" s="107" t="s">
        <v>89</v>
      </c>
      <c r="B18" s="77">
        <v>110294.43</v>
      </c>
      <c r="C18" s="9">
        <v>73046</v>
      </c>
      <c r="D18" s="196">
        <f>+D40+D45</f>
        <v>108730</v>
      </c>
      <c r="E18" s="257">
        <f t="shared" ref="E18:F18" si="6">+E40+E45</f>
        <v>108730</v>
      </c>
      <c r="F18" s="257">
        <f t="shared" si="6"/>
        <v>108730</v>
      </c>
    </row>
    <row r="19" spans="1:8" ht="24" customHeight="1" x14ac:dyDescent="0.3">
      <c r="A19" s="12" t="s">
        <v>95</v>
      </c>
      <c r="B19" s="9">
        <f>-330/(7.5345)</f>
        <v>-43.798526776826598</v>
      </c>
      <c r="C19" s="9"/>
      <c r="D19" s="196"/>
      <c r="E19" s="9"/>
      <c r="F19" s="9"/>
    </row>
    <row r="20" spans="1:8" ht="24" customHeight="1" x14ac:dyDescent="0.3">
      <c r="A20" s="124" t="s">
        <v>120</v>
      </c>
      <c r="B20" s="9"/>
      <c r="C20" s="9">
        <f>+C42</f>
        <v>21636</v>
      </c>
      <c r="D20" s="197"/>
      <c r="E20" s="114"/>
      <c r="F20" s="114"/>
    </row>
    <row r="21" spans="1:8" ht="29.4" customHeight="1" x14ac:dyDescent="0.3">
      <c r="A21" s="68" t="s">
        <v>49</v>
      </c>
      <c r="B21" s="125"/>
      <c r="C21" s="125"/>
      <c r="D21" s="198"/>
      <c r="E21" s="69"/>
      <c r="F21" s="69"/>
    </row>
    <row r="22" spans="1:8" ht="28.2" customHeight="1" x14ac:dyDescent="0.3">
      <c r="A22" s="17" t="s">
        <v>50</v>
      </c>
      <c r="B22" s="8"/>
      <c r="C22" s="9"/>
      <c r="D22" s="196"/>
      <c r="E22" s="9"/>
      <c r="F22" s="9"/>
    </row>
    <row r="23" spans="1:8" ht="15.75" customHeight="1" x14ac:dyDescent="0.3">
      <c r="A23" s="38" t="s">
        <v>47</v>
      </c>
      <c r="B23" s="8"/>
      <c r="C23" s="9"/>
      <c r="D23" s="196"/>
      <c r="E23" s="9"/>
      <c r="F23" s="10"/>
    </row>
    <row r="24" spans="1:8" ht="15.75" customHeight="1" x14ac:dyDescent="0.3">
      <c r="A24" s="13" t="s">
        <v>48</v>
      </c>
      <c r="B24" s="8"/>
      <c r="C24" s="9"/>
      <c r="D24" s="196"/>
      <c r="E24" s="9"/>
      <c r="F24" s="10"/>
    </row>
    <row r="25" spans="1:8" ht="15.75" customHeight="1" x14ac:dyDescent="0.3">
      <c r="A25" s="51"/>
      <c r="B25" s="51"/>
      <c r="C25" s="51"/>
      <c r="D25" s="192"/>
      <c r="E25" s="51"/>
      <c r="F25" s="51"/>
    </row>
    <row r="26" spans="1:8" ht="15.75" customHeight="1" x14ac:dyDescent="0.3">
      <c r="A26" s="51"/>
      <c r="B26" s="51"/>
      <c r="C26" s="51"/>
      <c r="D26" s="192"/>
      <c r="E26" s="51"/>
      <c r="F26" s="51"/>
    </row>
    <row r="28" spans="1:8" ht="15.6" customHeight="1" x14ac:dyDescent="0.3">
      <c r="A28" s="264" t="s">
        <v>45</v>
      </c>
      <c r="B28" s="264"/>
      <c r="C28" s="264"/>
      <c r="D28" s="264"/>
      <c r="E28" s="264"/>
      <c r="F28" s="264"/>
    </row>
    <row r="29" spans="1:8" ht="15.6" x14ac:dyDescent="0.3">
      <c r="C29" s="289" t="s">
        <v>129</v>
      </c>
      <c r="D29" s="289"/>
    </row>
    <row r="31" spans="1:8" ht="26.4" x14ac:dyDescent="0.3">
      <c r="A31" s="20" t="s">
        <v>46</v>
      </c>
      <c r="B31" s="19" t="s">
        <v>28</v>
      </c>
      <c r="C31" s="20" t="s">
        <v>29</v>
      </c>
      <c r="D31" s="199" t="s">
        <v>26</v>
      </c>
      <c r="E31" s="20" t="s">
        <v>23</v>
      </c>
      <c r="F31" s="20" t="s">
        <v>27</v>
      </c>
    </row>
    <row r="32" spans="1:8" x14ac:dyDescent="0.3">
      <c r="A32" s="104" t="s">
        <v>1</v>
      </c>
      <c r="B32" s="189">
        <f>B33+B44</f>
        <v>1030801</v>
      </c>
      <c r="C32" s="190">
        <f>C33+C44</f>
        <v>1091153</v>
      </c>
      <c r="D32" s="194">
        <f>D33+D44</f>
        <v>1394138</v>
      </c>
      <c r="E32" s="190">
        <f>E33+E44</f>
        <v>1214088</v>
      </c>
      <c r="F32" s="190">
        <f>F33+F44</f>
        <v>1214088</v>
      </c>
      <c r="H32" s="110"/>
    </row>
    <row r="33" spans="1:9" x14ac:dyDescent="0.3">
      <c r="A33" s="72" t="s">
        <v>90</v>
      </c>
      <c r="B33" s="112">
        <f>SUM(B34:B40)+B41+B42</f>
        <v>945005.88</v>
      </c>
      <c r="C33" s="109">
        <f>SUM(C34:C40)+C41+C42</f>
        <v>1066183</v>
      </c>
      <c r="D33" s="198">
        <f>SUM(D34:D40)+D41</f>
        <v>1265768</v>
      </c>
      <c r="E33" s="109">
        <f>SUM(E34:E40)+E41</f>
        <v>1189118</v>
      </c>
      <c r="F33" s="109">
        <f>SUM(F34:F40)+F41</f>
        <v>1189118</v>
      </c>
    </row>
    <row r="34" spans="1:9" x14ac:dyDescent="0.3">
      <c r="A34" s="13" t="s">
        <v>52</v>
      </c>
      <c r="B34" s="76">
        <v>100717.78</v>
      </c>
      <c r="C34" s="74">
        <v>109366</v>
      </c>
      <c r="D34" s="196">
        <f>+'POSEBNI DIO'!F20+'POSEBNI DIO'!F36+'POSEBNI DIO'!F51+'POSEBNI DIO'!F57+'POSEBNI DIO'!F44</f>
        <v>212650</v>
      </c>
      <c r="E34" s="9">
        <f>+'POSEBNI DIO'!G20+'POSEBNI DIO'!G36+'POSEBNI DIO'!G51+'POSEBNI DIO'!G57</f>
        <v>136000</v>
      </c>
      <c r="F34" s="9">
        <f>+'POSEBNI DIO'!H20+'POSEBNI DIO'!H36+'POSEBNI DIO'!H51+'POSEBNI DIO'!H57</f>
        <v>136000</v>
      </c>
    </row>
    <row r="35" spans="1:9" x14ac:dyDescent="0.3">
      <c r="A35" s="17" t="s">
        <v>84</v>
      </c>
      <c r="B35" s="76">
        <v>2154.73</v>
      </c>
      <c r="C35" s="74">
        <v>2060</v>
      </c>
      <c r="D35" s="196">
        <v>1500</v>
      </c>
      <c r="E35" s="9">
        <v>1500</v>
      </c>
      <c r="F35" s="9">
        <v>1500</v>
      </c>
      <c r="H35" s="110"/>
    </row>
    <row r="36" spans="1:9" ht="26.4" x14ac:dyDescent="0.3">
      <c r="A36" s="101" t="s">
        <v>92</v>
      </c>
      <c r="B36" s="76">
        <v>-44</v>
      </c>
      <c r="C36" s="74">
        <v>20</v>
      </c>
      <c r="D36" s="196"/>
      <c r="E36" s="9"/>
      <c r="F36" s="9"/>
    </row>
    <row r="37" spans="1:9" x14ac:dyDescent="0.3">
      <c r="A37" s="101" t="s">
        <v>86</v>
      </c>
      <c r="B37" s="76">
        <v>172.54</v>
      </c>
      <c r="C37" s="74">
        <v>100</v>
      </c>
      <c r="D37" s="196">
        <v>100</v>
      </c>
      <c r="E37" s="9">
        <v>100</v>
      </c>
      <c r="F37" s="9">
        <v>100</v>
      </c>
      <c r="H37" s="110">
        <f>+H35-H36</f>
        <v>0</v>
      </c>
    </row>
    <row r="38" spans="1:9" ht="15.75" customHeight="1" x14ac:dyDescent="0.3">
      <c r="A38" s="100" t="s">
        <v>87</v>
      </c>
      <c r="B38" s="76">
        <v>20278.72</v>
      </c>
      <c r="C38" s="74">
        <v>25517</v>
      </c>
      <c r="D38" s="196">
        <f>+'POSEBNI DIO'!F73+'POSEBNI DIO'!F61</f>
        <v>26550</v>
      </c>
      <c r="E38" s="9">
        <f>+'POSEBNI DIO'!G73+'POSEBNI DIO'!G61</f>
        <v>26550</v>
      </c>
      <c r="F38" s="9">
        <f>+'POSEBNI DIO'!H73+'POSEBNI DIO'!H61</f>
        <v>26550</v>
      </c>
    </row>
    <row r="39" spans="1:9" ht="26.4" x14ac:dyDescent="0.3">
      <c r="A39" s="101" t="s">
        <v>93</v>
      </c>
      <c r="B39" s="76">
        <v>727249.92000000004</v>
      </c>
      <c r="C39" s="74">
        <v>789200</v>
      </c>
      <c r="D39" s="196">
        <f>+'POSEBNI DIO'!F14</f>
        <v>871000</v>
      </c>
      <c r="E39" s="9">
        <f>+'POSEBNI DIO'!G14</f>
        <v>871000</v>
      </c>
      <c r="F39" s="9">
        <f>+'POSEBNI DIO'!H14</f>
        <v>871000</v>
      </c>
      <c r="I39" s="117"/>
    </row>
    <row r="40" spans="1:9" x14ac:dyDescent="0.3">
      <c r="A40" s="13" t="s">
        <v>94</v>
      </c>
      <c r="B40" s="76">
        <v>24532.45</v>
      </c>
      <c r="C40" s="74">
        <v>54046</v>
      </c>
      <c r="D40" s="196">
        <f>+'POSEBNI DIO'!F30+'POSEBNI DIO'!F41+'POSEBNI DIO'!F76</f>
        <v>89730</v>
      </c>
      <c r="E40" s="9">
        <f>+'POSEBNI DIO'!G30+'POSEBNI DIO'!G41+'POSEBNI DIO'!G76</f>
        <v>89730</v>
      </c>
      <c r="F40" s="9">
        <f>+'POSEBNI DIO'!H30+'POSEBNI DIO'!H41+'POSEBNI DIO'!H76</f>
        <v>89730</v>
      </c>
    </row>
    <row r="41" spans="1:9" x14ac:dyDescent="0.3">
      <c r="A41" s="18">
        <v>31</v>
      </c>
      <c r="B41" s="76">
        <v>69943.740000000005</v>
      </c>
      <c r="C41" s="9">
        <f>70208-5970</f>
        <v>64238</v>
      </c>
      <c r="D41" s="196">
        <f>+'POSEBNI DIO'!F8</f>
        <v>64238</v>
      </c>
      <c r="E41" s="9">
        <f>+'POSEBNI DIO'!G8</f>
        <v>64238</v>
      </c>
      <c r="F41" s="9">
        <f>+'POSEBNI DIO'!H8</f>
        <v>64238</v>
      </c>
    </row>
    <row r="42" spans="1:9" ht="26.4" x14ac:dyDescent="0.3">
      <c r="A42" s="121" t="s">
        <v>119</v>
      </c>
      <c r="B42" s="122"/>
      <c r="C42" s="9">
        <v>21636</v>
      </c>
      <c r="D42" s="197"/>
      <c r="E42" s="114"/>
      <c r="F42" s="114"/>
    </row>
    <row r="43" spans="1:9" x14ac:dyDescent="0.3">
      <c r="A43" s="18"/>
      <c r="B43" s="77"/>
      <c r="C43" s="9"/>
      <c r="D43" s="196"/>
      <c r="E43" s="9"/>
      <c r="F43" s="9"/>
    </row>
    <row r="44" spans="1:9" ht="33" customHeight="1" x14ac:dyDescent="0.3">
      <c r="A44" s="115" t="s">
        <v>82</v>
      </c>
      <c r="B44" s="116">
        <f>SUM(B45:B46)</f>
        <v>85795.12</v>
      </c>
      <c r="C44" s="123">
        <f>SUM(C45:C46)</f>
        <v>24970</v>
      </c>
      <c r="D44" s="200">
        <f>SUM(D45:D46)+D47</f>
        <v>128370</v>
      </c>
      <c r="E44" s="123">
        <f>SUM(E45:E46)</f>
        <v>24970</v>
      </c>
      <c r="F44" s="123">
        <f>SUM(F45:F46)</f>
        <v>24970</v>
      </c>
    </row>
    <row r="45" spans="1:9" x14ac:dyDescent="0.3">
      <c r="A45" s="17" t="s">
        <v>94</v>
      </c>
      <c r="B45" s="76">
        <f>85795.12-B46</f>
        <v>79823.12</v>
      </c>
      <c r="C45" s="9">
        <v>19000</v>
      </c>
      <c r="D45" s="196">
        <v>19000</v>
      </c>
      <c r="E45" s="9">
        <v>19000</v>
      </c>
      <c r="F45" s="9">
        <v>19000</v>
      </c>
    </row>
    <row r="46" spans="1:9" x14ac:dyDescent="0.3">
      <c r="A46" s="16">
        <v>31</v>
      </c>
      <c r="B46" s="76">
        <v>5972</v>
      </c>
      <c r="C46" s="9">
        <v>5970</v>
      </c>
      <c r="D46" s="196">
        <f>+C46</f>
        <v>5970</v>
      </c>
      <c r="E46" s="9">
        <v>5970</v>
      </c>
      <c r="F46" s="9">
        <v>5970</v>
      </c>
    </row>
    <row r="47" spans="1:9" x14ac:dyDescent="0.3">
      <c r="A47" s="64" t="s">
        <v>91</v>
      </c>
      <c r="B47" s="64"/>
      <c r="C47" s="64"/>
      <c r="D47" s="202">
        <v>103400</v>
      </c>
      <c r="E47" s="64"/>
      <c r="F47" s="64"/>
    </row>
  </sheetData>
  <mergeCells count="6">
    <mergeCell ref="C29:D29"/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D13" sqref="D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264" t="s">
        <v>131</v>
      </c>
      <c r="B1" s="264"/>
      <c r="C1" s="264"/>
      <c r="D1" s="264"/>
      <c r="E1" s="264"/>
      <c r="F1" s="264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264" t="s">
        <v>16</v>
      </c>
      <c r="B3" s="264"/>
      <c r="C3" s="264"/>
      <c r="D3" s="264"/>
      <c r="E3" s="265"/>
      <c r="F3" s="265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264" t="s">
        <v>3</v>
      </c>
      <c r="B5" s="266"/>
      <c r="C5" s="266"/>
      <c r="D5" s="266"/>
      <c r="E5" s="266"/>
      <c r="F5" s="266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264" t="s">
        <v>11</v>
      </c>
      <c r="B7" s="284"/>
      <c r="C7" s="284"/>
      <c r="D7" s="284"/>
      <c r="E7" s="284"/>
      <c r="F7" s="284"/>
    </row>
    <row r="9" spans="1:6" ht="26.4" x14ac:dyDescent="0.3">
      <c r="A9" s="20" t="s">
        <v>132</v>
      </c>
      <c r="B9" s="19" t="s">
        <v>28</v>
      </c>
      <c r="C9" s="20" t="s">
        <v>133</v>
      </c>
      <c r="D9" s="20" t="s">
        <v>26</v>
      </c>
      <c r="E9" s="20" t="s">
        <v>23</v>
      </c>
      <c r="F9" s="20" t="s">
        <v>27</v>
      </c>
    </row>
    <row r="10" spans="1:6" ht="15.75" customHeight="1" x14ac:dyDescent="0.3">
      <c r="A10" s="11" t="s">
        <v>12</v>
      </c>
      <c r="B10" s="8">
        <f>+SAŽETAK!G11</f>
        <v>1030801.3816444356</v>
      </c>
      <c r="C10" s="9">
        <f>+SAŽETAK!H11</f>
        <v>1091153</v>
      </c>
      <c r="D10" s="258">
        <f>+SAŽETAK!I11</f>
        <v>1394038</v>
      </c>
      <c r="E10" s="258">
        <f>+D10</f>
        <v>1394038</v>
      </c>
      <c r="F10" s="258">
        <f>+E10</f>
        <v>1394038</v>
      </c>
    </row>
    <row r="11" spans="1:6" ht="25.8" customHeight="1" x14ac:dyDescent="0.3">
      <c r="A11" s="11" t="s">
        <v>134</v>
      </c>
      <c r="B11" s="8">
        <f t="shared" ref="B11:E12" si="0">+B10</f>
        <v>1030801.3816444356</v>
      </c>
      <c r="C11" s="9">
        <f t="shared" si="0"/>
        <v>1091153</v>
      </c>
      <c r="D11" s="258">
        <f t="shared" si="0"/>
        <v>1394038</v>
      </c>
      <c r="E11" s="258">
        <f t="shared" si="0"/>
        <v>1394038</v>
      </c>
      <c r="F11" s="258">
        <f>+E11</f>
        <v>1394038</v>
      </c>
    </row>
    <row r="12" spans="1:6" ht="23.4" customHeight="1" x14ac:dyDescent="0.3">
      <c r="A12" s="259" t="s">
        <v>135</v>
      </c>
      <c r="B12" s="8">
        <f t="shared" si="0"/>
        <v>1030801.3816444356</v>
      </c>
      <c r="C12" s="9">
        <f t="shared" si="0"/>
        <v>1091153</v>
      </c>
      <c r="D12" s="258">
        <f>+'POSEBNI DIO'!F6</f>
        <v>1394138</v>
      </c>
      <c r="E12" s="258">
        <f t="shared" si="0"/>
        <v>1394038</v>
      </c>
      <c r="F12" s="258">
        <f>+E12</f>
        <v>1394038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264" t="s">
        <v>25</v>
      </c>
      <c r="B1" s="264"/>
      <c r="C1" s="264"/>
      <c r="D1" s="264"/>
      <c r="E1" s="264"/>
      <c r="F1" s="264"/>
      <c r="G1" s="264"/>
      <c r="H1" s="264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264" t="s">
        <v>16</v>
      </c>
      <c r="B3" s="264"/>
      <c r="C3" s="264"/>
      <c r="D3" s="264"/>
      <c r="E3" s="264"/>
      <c r="F3" s="264"/>
      <c r="G3" s="264"/>
      <c r="H3" s="264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264" t="s">
        <v>55</v>
      </c>
      <c r="B5" s="264"/>
      <c r="C5" s="264"/>
      <c r="D5" s="264"/>
      <c r="E5" s="264"/>
      <c r="F5" s="264"/>
      <c r="G5" s="264"/>
      <c r="H5" s="264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4</v>
      </c>
      <c r="B7" s="19" t="s">
        <v>5</v>
      </c>
      <c r="C7" s="19" t="s">
        <v>24</v>
      </c>
      <c r="D7" s="19" t="s">
        <v>28</v>
      </c>
      <c r="E7" s="20" t="s">
        <v>29</v>
      </c>
      <c r="F7" s="20" t="s">
        <v>26</v>
      </c>
      <c r="G7" s="20" t="s">
        <v>23</v>
      </c>
      <c r="H7" s="20" t="s">
        <v>27</v>
      </c>
    </row>
    <row r="8" spans="1:8" x14ac:dyDescent="0.3">
      <c r="A8" s="36"/>
      <c r="B8" s="37"/>
      <c r="C8" s="35" t="s">
        <v>57</v>
      </c>
      <c r="D8" s="37"/>
      <c r="E8" s="36"/>
      <c r="F8" s="36"/>
      <c r="G8" s="36"/>
      <c r="H8" s="36"/>
    </row>
    <row r="9" spans="1:8" ht="26.4" x14ac:dyDescent="0.3">
      <c r="A9" s="11">
        <v>8</v>
      </c>
      <c r="B9" s="11"/>
      <c r="C9" s="11" t="s">
        <v>13</v>
      </c>
      <c r="D9" s="8"/>
      <c r="E9" s="9"/>
      <c r="F9" s="9"/>
      <c r="G9" s="9"/>
      <c r="H9" s="9"/>
    </row>
    <row r="10" spans="1:8" x14ac:dyDescent="0.3">
      <c r="A10" s="11"/>
      <c r="B10" s="16">
        <v>84</v>
      </c>
      <c r="C10" s="16" t="s">
        <v>19</v>
      </c>
      <c r="D10" s="8"/>
      <c r="E10" s="9"/>
      <c r="F10" s="9"/>
      <c r="G10" s="9"/>
      <c r="H10" s="9"/>
    </row>
    <row r="11" spans="1:8" x14ac:dyDescent="0.3">
      <c r="A11" s="11"/>
      <c r="B11" s="16"/>
      <c r="C11" s="39"/>
      <c r="D11" s="8"/>
      <c r="E11" s="9"/>
      <c r="F11" s="9"/>
      <c r="G11" s="9"/>
      <c r="H11" s="9"/>
    </row>
    <row r="12" spans="1:8" x14ac:dyDescent="0.3">
      <c r="A12" s="11"/>
      <c r="B12" s="16"/>
      <c r="C12" s="35" t="s">
        <v>60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5"/>
      <c r="C13" s="25" t="s">
        <v>14</v>
      </c>
      <c r="D13" s="8"/>
      <c r="E13" s="9"/>
      <c r="F13" s="9"/>
      <c r="G13" s="9"/>
      <c r="H13" s="9"/>
    </row>
    <row r="14" spans="1:8" ht="26.4" x14ac:dyDescent="0.3">
      <c r="A14" s="16"/>
      <c r="B14" s="16">
        <v>54</v>
      </c>
      <c r="C14" s="26" t="s">
        <v>20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264" t="s">
        <v>25</v>
      </c>
      <c r="B1" s="264"/>
      <c r="C1" s="264"/>
      <c r="D1" s="264"/>
      <c r="E1" s="264"/>
      <c r="F1" s="264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264" t="s">
        <v>16</v>
      </c>
      <c r="B3" s="264"/>
      <c r="C3" s="264"/>
      <c r="D3" s="264"/>
      <c r="E3" s="264"/>
      <c r="F3" s="264"/>
    </row>
    <row r="4" spans="1:6" ht="17.399999999999999" x14ac:dyDescent="0.3">
      <c r="A4" s="24"/>
      <c r="B4" s="24"/>
      <c r="C4" s="24"/>
      <c r="D4" s="24"/>
      <c r="E4" s="5"/>
      <c r="F4" s="5"/>
    </row>
    <row r="5" spans="1:6" ht="18" customHeight="1" x14ac:dyDescent="0.3">
      <c r="A5" s="264" t="s">
        <v>56</v>
      </c>
      <c r="B5" s="264"/>
      <c r="C5" s="264"/>
      <c r="D5" s="264"/>
      <c r="E5" s="264"/>
      <c r="F5" s="264"/>
    </row>
    <row r="6" spans="1:6" ht="17.399999999999999" x14ac:dyDescent="0.3">
      <c r="A6" s="24"/>
      <c r="B6" s="24"/>
      <c r="C6" s="24"/>
      <c r="D6" s="24"/>
      <c r="E6" s="5"/>
      <c r="F6" s="5"/>
    </row>
    <row r="7" spans="1:6" ht="26.4" x14ac:dyDescent="0.3">
      <c r="A7" s="19" t="s">
        <v>46</v>
      </c>
      <c r="B7" s="19" t="s">
        <v>28</v>
      </c>
      <c r="C7" s="20" t="s">
        <v>29</v>
      </c>
      <c r="D7" s="20" t="s">
        <v>26</v>
      </c>
      <c r="E7" s="20" t="s">
        <v>23</v>
      </c>
      <c r="F7" s="20" t="s">
        <v>27</v>
      </c>
    </row>
    <row r="8" spans="1:6" x14ac:dyDescent="0.3">
      <c r="A8" s="11" t="s">
        <v>57</v>
      </c>
      <c r="B8" s="8"/>
      <c r="C8" s="9"/>
      <c r="D8" s="9"/>
      <c r="E8" s="9"/>
      <c r="F8" s="9"/>
    </row>
    <row r="9" spans="1:6" ht="26.4" x14ac:dyDescent="0.3">
      <c r="A9" s="11" t="s">
        <v>58</v>
      </c>
      <c r="B9" s="8"/>
      <c r="C9" s="9"/>
      <c r="D9" s="9"/>
      <c r="E9" s="9"/>
      <c r="F9" s="9"/>
    </row>
    <row r="10" spans="1:6" ht="26.4" x14ac:dyDescent="0.3">
      <c r="A10" s="17" t="s">
        <v>59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60</v>
      </c>
      <c r="B12" s="8"/>
      <c r="C12" s="9"/>
      <c r="D12" s="9"/>
      <c r="E12" s="9"/>
      <c r="F12" s="9"/>
    </row>
    <row r="13" spans="1:6" x14ac:dyDescent="0.3">
      <c r="A13" s="25" t="s">
        <v>51</v>
      </c>
      <c r="B13" s="8"/>
      <c r="C13" s="9"/>
      <c r="D13" s="9"/>
      <c r="E13" s="9"/>
      <c r="F13" s="9"/>
    </row>
    <row r="14" spans="1:6" x14ac:dyDescent="0.3">
      <c r="A14" s="13" t="s">
        <v>52</v>
      </c>
      <c r="B14" s="8"/>
      <c r="C14" s="9"/>
      <c r="D14" s="9"/>
      <c r="E14" s="9"/>
      <c r="F14" s="10"/>
    </row>
    <row r="15" spans="1:6" x14ac:dyDescent="0.3">
      <c r="A15" s="25" t="s">
        <v>53</v>
      </c>
      <c r="B15" s="8"/>
      <c r="C15" s="9"/>
      <c r="D15" s="9"/>
      <c r="E15" s="9"/>
      <c r="F15" s="10"/>
    </row>
    <row r="16" spans="1:6" x14ac:dyDescent="0.3">
      <c r="A16" s="13" t="s">
        <v>54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26"/>
  <sheetViews>
    <sheetView topLeftCell="A36" workbookViewId="0">
      <selection activeCell="F48" sqref="F48"/>
    </sheetView>
  </sheetViews>
  <sheetFormatPr defaultRowHeight="14.4" x14ac:dyDescent="0.3"/>
  <cols>
    <col min="2" max="2" width="30" style="179" customWidth="1"/>
    <col min="3" max="3" width="14.88671875" style="241" customWidth="1"/>
    <col min="4" max="4" width="15.77734375" style="178" customWidth="1"/>
    <col min="5" max="5" width="16.21875" style="178" customWidth="1"/>
    <col min="6" max="6" width="18.88671875" style="178" customWidth="1"/>
    <col min="7" max="7" width="18" style="178" customWidth="1"/>
    <col min="8" max="8" width="17.44140625" style="178" customWidth="1"/>
    <col min="9" max="9" width="25.33203125" customWidth="1"/>
  </cols>
  <sheetData>
    <row r="1" spans="1:9" ht="42" customHeight="1" x14ac:dyDescent="0.3">
      <c r="A1" s="163"/>
      <c r="B1" s="290" t="s">
        <v>126</v>
      </c>
      <c r="C1" s="290"/>
      <c r="D1" s="290"/>
      <c r="E1" s="290"/>
      <c r="F1" s="290"/>
      <c r="G1" s="290"/>
      <c r="H1" s="290"/>
      <c r="I1" s="164"/>
    </row>
    <row r="2" spans="1:9" ht="17.399999999999999" customHeight="1" x14ac:dyDescent="0.3">
      <c r="A2" s="163"/>
      <c r="B2" s="291" t="s">
        <v>15</v>
      </c>
      <c r="C2" s="292"/>
      <c r="D2" s="292"/>
      <c r="E2" s="292"/>
      <c r="F2" s="292"/>
      <c r="G2" s="292"/>
      <c r="H2" s="293"/>
      <c r="I2" s="5">
        <v>7.5345000000000004</v>
      </c>
    </row>
    <row r="3" spans="1:9" ht="18" customHeight="1" x14ac:dyDescent="0.3">
      <c r="A3" s="163"/>
      <c r="B3" s="294"/>
      <c r="C3" s="295"/>
      <c r="D3" s="295"/>
      <c r="E3" s="295"/>
      <c r="F3" s="295"/>
      <c r="G3" s="295"/>
      <c r="H3" s="296"/>
      <c r="I3" s="52"/>
    </row>
    <row r="4" spans="1:9" ht="17.399999999999999" customHeight="1" x14ac:dyDescent="0.3">
      <c r="A4" s="163"/>
      <c r="B4" s="297"/>
      <c r="C4" s="298"/>
      <c r="D4" s="298"/>
      <c r="E4" s="298"/>
      <c r="F4" s="298"/>
      <c r="G4" s="298"/>
      <c r="H4" s="299"/>
      <c r="I4" s="5"/>
    </row>
    <row r="5" spans="1:9" ht="26.4" x14ac:dyDescent="0.3">
      <c r="B5" s="165" t="s">
        <v>17</v>
      </c>
      <c r="C5" s="220" t="s">
        <v>127</v>
      </c>
      <c r="D5" s="165" t="s">
        <v>28</v>
      </c>
      <c r="E5" s="165" t="s">
        <v>29</v>
      </c>
      <c r="F5" s="165" t="s">
        <v>26</v>
      </c>
      <c r="G5" s="165" t="s">
        <v>23</v>
      </c>
      <c r="H5" s="165" t="s">
        <v>27</v>
      </c>
      <c r="I5" s="117"/>
    </row>
    <row r="6" spans="1:9" x14ac:dyDescent="0.3">
      <c r="B6" s="20" t="s">
        <v>124</v>
      </c>
      <c r="C6" s="221">
        <v>7766573.0099999998</v>
      </c>
      <c r="D6" s="221">
        <f>+C6/I2</f>
        <v>1030801.3816444355</v>
      </c>
      <c r="E6" s="118">
        <f>+E7+E18+E81</f>
        <v>1091153</v>
      </c>
      <c r="F6" s="118">
        <f>+F7+F18+F81+F86</f>
        <v>1394138</v>
      </c>
      <c r="G6" s="118">
        <f>+G7+G18+G81</f>
        <v>1214088</v>
      </c>
      <c r="H6" s="118">
        <f>+H7+H18+H81</f>
        <v>1214088</v>
      </c>
      <c r="I6" s="117"/>
    </row>
    <row r="7" spans="1:9" ht="39.6" x14ac:dyDescent="0.3">
      <c r="B7" s="132" t="s">
        <v>96</v>
      </c>
      <c r="C7" s="225">
        <f>+C8+C13</f>
        <v>5961463.5700000003</v>
      </c>
      <c r="D7" s="217">
        <f>C7/$I$2</f>
        <v>791222.18727188266</v>
      </c>
      <c r="E7" s="148">
        <v>853438</v>
      </c>
      <c r="F7" s="166">
        <f>+F8+F13</f>
        <v>935238</v>
      </c>
      <c r="G7" s="166">
        <f>+G8+G14</f>
        <v>935238</v>
      </c>
      <c r="H7" s="166">
        <f>+H8+H14</f>
        <v>935238</v>
      </c>
    </row>
    <row r="8" spans="1:9" ht="26.4" x14ac:dyDescent="0.3">
      <c r="B8" s="136" t="s">
        <v>97</v>
      </c>
      <c r="C8" s="226">
        <f>+C9</f>
        <v>481999.04</v>
      </c>
      <c r="D8" s="242">
        <f>C8/$I$2</f>
        <v>63972.266241953672</v>
      </c>
      <c r="E8" s="149">
        <v>64238</v>
      </c>
      <c r="F8" s="149">
        <v>64238</v>
      </c>
      <c r="G8" s="149">
        <v>64238</v>
      </c>
      <c r="H8" s="149">
        <v>64238</v>
      </c>
      <c r="I8" s="127"/>
    </row>
    <row r="9" spans="1:9" ht="26.4" x14ac:dyDescent="0.3">
      <c r="B9" s="120" t="s">
        <v>98</v>
      </c>
      <c r="C9" s="227">
        <f>+C10</f>
        <v>481999.04</v>
      </c>
      <c r="D9" s="215">
        <f t="shared" ref="D9:D72" si="0">C9/$I$2</f>
        <v>63972.266241953672</v>
      </c>
      <c r="E9" s="150">
        <v>64238</v>
      </c>
      <c r="F9" s="150">
        <v>64238</v>
      </c>
      <c r="G9" s="150">
        <v>64238</v>
      </c>
      <c r="H9" s="150">
        <v>64238</v>
      </c>
      <c r="I9" s="127"/>
    </row>
    <row r="10" spans="1:9" x14ac:dyDescent="0.3">
      <c r="B10" s="119" t="s">
        <v>77</v>
      </c>
      <c r="C10" s="227">
        <v>481999.04</v>
      </c>
      <c r="D10" s="215">
        <f t="shared" si="0"/>
        <v>63972.266241953672</v>
      </c>
      <c r="E10" s="150">
        <v>64238</v>
      </c>
      <c r="F10" s="150">
        <v>64238</v>
      </c>
      <c r="G10" s="150">
        <v>64238</v>
      </c>
      <c r="H10" s="150">
        <v>64238</v>
      </c>
      <c r="I10" s="127"/>
    </row>
    <row r="11" spans="1:9" x14ac:dyDescent="0.3">
      <c r="B11" s="119" t="s">
        <v>79</v>
      </c>
      <c r="C11" s="227">
        <f>+C10-C12</f>
        <v>477988.26999999996</v>
      </c>
      <c r="D11" s="215">
        <f t="shared" si="0"/>
        <v>63439.945583648543</v>
      </c>
      <c r="E11" s="150">
        <v>63788</v>
      </c>
      <c r="F11" s="150">
        <v>63788</v>
      </c>
      <c r="G11" s="150">
        <v>63788</v>
      </c>
      <c r="H11" s="150">
        <v>63788</v>
      </c>
      <c r="I11" s="127"/>
    </row>
    <row r="12" spans="1:9" ht="14.25" customHeight="1" x14ac:dyDescent="0.3">
      <c r="B12" s="119" t="s">
        <v>80</v>
      </c>
      <c r="C12" s="227">
        <v>4010.77</v>
      </c>
      <c r="D12" s="215">
        <f t="shared" si="0"/>
        <v>532.32065830512965</v>
      </c>
      <c r="E12" s="151">
        <v>450</v>
      </c>
      <c r="F12" s="151">
        <v>450</v>
      </c>
      <c r="G12" s="151">
        <v>450</v>
      </c>
      <c r="H12" s="151">
        <v>450</v>
      </c>
      <c r="I12" s="128"/>
    </row>
    <row r="13" spans="1:9" ht="43.8" customHeight="1" x14ac:dyDescent="0.3">
      <c r="B13" s="143" t="s">
        <v>99</v>
      </c>
      <c r="C13" s="216">
        <f>+C14</f>
        <v>5479464.5300000003</v>
      </c>
      <c r="D13" s="242">
        <f t="shared" si="0"/>
        <v>727249.92102992896</v>
      </c>
      <c r="E13" s="149">
        <v>789200</v>
      </c>
      <c r="F13" s="167">
        <f>+F14</f>
        <v>871000</v>
      </c>
      <c r="G13" s="167">
        <f t="shared" ref="G13:H13" si="1">+G14</f>
        <v>871000</v>
      </c>
      <c r="H13" s="167">
        <f t="shared" si="1"/>
        <v>871000</v>
      </c>
      <c r="I13" s="127"/>
    </row>
    <row r="14" spans="1:9" ht="40.200000000000003" x14ac:dyDescent="0.3">
      <c r="B14" s="133" t="s">
        <v>100</v>
      </c>
      <c r="C14" s="222">
        <f>+C15</f>
        <v>5479464.5300000003</v>
      </c>
      <c r="D14" s="215">
        <f t="shared" si="0"/>
        <v>727249.92102992896</v>
      </c>
      <c r="E14" s="131">
        <v>789200</v>
      </c>
      <c r="F14" s="168">
        <f>+F15</f>
        <v>871000</v>
      </c>
      <c r="G14" s="168">
        <f t="shared" ref="G14:H14" si="2">+G15</f>
        <v>871000</v>
      </c>
      <c r="H14" s="168">
        <f t="shared" si="2"/>
        <v>871000</v>
      </c>
      <c r="I14" s="127"/>
    </row>
    <row r="15" spans="1:9" x14ac:dyDescent="0.3">
      <c r="B15" s="119" t="s">
        <v>77</v>
      </c>
      <c r="C15" s="227">
        <v>5479464.5300000003</v>
      </c>
      <c r="D15" s="215">
        <f t="shared" si="0"/>
        <v>727249.92102992896</v>
      </c>
      <c r="E15" s="150">
        <v>789200</v>
      </c>
      <c r="F15" s="169">
        <f>+F16+F17</f>
        <v>871000</v>
      </c>
      <c r="G15" s="169">
        <f t="shared" ref="G15:H15" si="3">+G16+G17</f>
        <v>871000</v>
      </c>
      <c r="H15" s="169">
        <f t="shared" si="3"/>
        <v>871000</v>
      </c>
      <c r="I15" s="127"/>
    </row>
    <row r="16" spans="1:9" ht="15" customHeight="1" x14ac:dyDescent="0.3">
      <c r="B16" s="119" t="s">
        <v>78</v>
      </c>
      <c r="C16" s="227">
        <f>+C15-C17</f>
        <v>5337942.3900000006</v>
      </c>
      <c r="D16" s="215">
        <f t="shared" si="0"/>
        <v>708466.70515628112</v>
      </c>
      <c r="E16" s="150">
        <v>768600</v>
      </c>
      <c r="F16" s="169">
        <v>848000</v>
      </c>
      <c r="G16" s="169">
        <v>848000</v>
      </c>
      <c r="H16" s="169">
        <v>848000</v>
      </c>
      <c r="I16" s="127"/>
    </row>
    <row r="17" spans="2:10" x14ac:dyDescent="0.3">
      <c r="B17" s="119" t="s">
        <v>79</v>
      </c>
      <c r="C17" s="228">
        <f>122772.14+18750</f>
        <v>141522.14000000001</v>
      </c>
      <c r="D17" s="215">
        <f t="shared" si="0"/>
        <v>18783.215873647889</v>
      </c>
      <c r="E17" s="152">
        <v>20600</v>
      </c>
      <c r="F17" s="169">
        <v>23000</v>
      </c>
      <c r="G17" s="169">
        <v>23000</v>
      </c>
      <c r="H17" s="169">
        <v>23000</v>
      </c>
      <c r="I17" s="127"/>
    </row>
    <row r="18" spans="2:10" ht="39.6" x14ac:dyDescent="0.3">
      <c r="B18" s="138" t="s">
        <v>101</v>
      </c>
      <c r="C18" s="229">
        <v>1295060.5</v>
      </c>
      <c r="D18" s="223">
        <f t="shared" si="0"/>
        <v>171884.06662684982</v>
      </c>
      <c r="E18" s="153">
        <v>231745</v>
      </c>
      <c r="F18" s="170">
        <f>+F19+F35+F51+F56+F65+F69+F76+F44</f>
        <v>349530</v>
      </c>
      <c r="G18" s="170">
        <f t="shared" ref="G18" si="4">+G19+G35+G51+G56+G65+G69+G76</f>
        <v>272880</v>
      </c>
      <c r="H18" s="170">
        <f>+H19+H35+H51+H56+H65+H69+H76</f>
        <v>272880</v>
      </c>
      <c r="I18" s="129"/>
      <c r="J18" s="117"/>
    </row>
    <row r="19" spans="2:10" ht="26.4" x14ac:dyDescent="0.3">
      <c r="B19" s="135" t="s">
        <v>102</v>
      </c>
      <c r="C19" s="230">
        <v>296204.42</v>
      </c>
      <c r="D19" s="215">
        <f t="shared" si="0"/>
        <v>39313.082487225423</v>
      </c>
      <c r="E19" s="131">
        <v>8938</v>
      </c>
      <c r="F19" s="168">
        <f>+F20+F24+F30</f>
        <v>21230</v>
      </c>
      <c r="G19" s="168">
        <f t="shared" ref="G19:H19" si="5">+G20+G24+G30</f>
        <v>21230</v>
      </c>
      <c r="H19" s="168">
        <f t="shared" si="5"/>
        <v>21230</v>
      </c>
      <c r="I19" s="127"/>
    </row>
    <row r="20" spans="2:10" x14ac:dyDescent="0.3">
      <c r="B20" s="141" t="s">
        <v>103</v>
      </c>
      <c r="C20" s="231">
        <f>+C21</f>
        <v>179475.87</v>
      </c>
      <c r="D20" s="223">
        <f t="shared" si="0"/>
        <v>23820.54150905833</v>
      </c>
      <c r="E20" s="153">
        <v>6133</v>
      </c>
      <c r="F20" s="170">
        <f>+F21</f>
        <v>19000</v>
      </c>
      <c r="G20" s="170">
        <f t="shared" ref="G20:H20" si="6">+G21</f>
        <v>19000</v>
      </c>
      <c r="H20" s="170">
        <f t="shared" si="6"/>
        <v>19000</v>
      </c>
      <c r="I20" s="127"/>
    </row>
    <row r="21" spans="2:10" x14ac:dyDescent="0.3">
      <c r="B21" s="119" t="s">
        <v>77</v>
      </c>
      <c r="C21" s="227">
        <f>+C22+C23</f>
        <v>179475.87</v>
      </c>
      <c r="D21" s="215">
        <f t="shared" si="0"/>
        <v>23820.54150905833</v>
      </c>
      <c r="E21" s="150">
        <v>6133</v>
      </c>
      <c r="F21" s="169">
        <v>19000</v>
      </c>
      <c r="G21" s="169">
        <f>+F21</f>
        <v>19000</v>
      </c>
      <c r="H21" s="169">
        <f>+F21</f>
        <v>19000</v>
      </c>
      <c r="I21" s="127"/>
    </row>
    <row r="22" spans="2:10" x14ac:dyDescent="0.3">
      <c r="B22" s="119" t="s">
        <v>79</v>
      </c>
      <c r="C22" s="227">
        <v>55000</v>
      </c>
      <c r="D22" s="215">
        <f t="shared" si="0"/>
        <v>7299.7544628044325</v>
      </c>
      <c r="E22" s="150">
        <v>6000</v>
      </c>
      <c r="F22" s="169">
        <v>19000</v>
      </c>
      <c r="G22" s="169">
        <f>+F22</f>
        <v>19000</v>
      </c>
      <c r="H22" s="169">
        <f>+F22</f>
        <v>19000</v>
      </c>
      <c r="I22" s="129"/>
    </row>
    <row r="23" spans="2:10" ht="39.6" x14ac:dyDescent="0.3">
      <c r="B23" s="119" t="s">
        <v>81</v>
      </c>
      <c r="C23" s="227">
        <v>124475.87</v>
      </c>
      <c r="D23" s="215">
        <f t="shared" si="0"/>
        <v>16520.787046253896</v>
      </c>
      <c r="E23" s="150">
        <v>133</v>
      </c>
      <c r="F23" s="169">
        <v>0</v>
      </c>
      <c r="G23" s="169"/>
      <c r="H23" s="169"/>
      <c r="I23" s="129"/>
    </row>
    <row r="24" spans="2:10" ht="26.4" x14ac:dyDescent="0.3">
      <c r="B24" s="130" t="s">
        <v>104</v>
      </c>
      <c r="C24" s="225">
        <f>+C25</f>
        <v>16234.81</v>
      </c>
      <c r="D24" s="215">
        <f t="shared" si="0"/>
        <v>2154.7295772778548</v>
      </c>
      <c r="E24" s="131">
        <v>2060</v>
      </c>
      <c r="F24" s="168">
        <f>+F25</f>
        <v>1500</v>
      </c>
      <c r="G24" s="168">
        <f>+G25</f>
        <v>1500</v>
      </c>
      <c r="H24" s="168">
        <f>+H25</f>
        <v>1500</v>
      </c>
      <c r="I24" s="127"/>
    </row>
    <row r="25" spans="2:10" x14ac:dyDescent="0.3">
      <c r="B25" s="119" t="s">
        <v>77</v>
      </c>
      <c r="C25" s="227">
        <f>+C26</f>
        <v>16234.81</v>
      </c>
      <c r="D25" s="215">
        <f t="shared" si="0"/>
        <v>2154.7295772778548</v>
      </c>
      <c r="E25" s="150">
        <v>2060</v>
      </c>
      <c r="F25" s="169">
        <v>1500</v>
      </c>
      <c r="G25" s="169">
        <v>1500</v>
      </c>
      <c r="H25" s="169">
        <v>1500</v>
      </c>
      <c r="I25" s="127"/>
    </row>
    <row r="26" spans="2:10" x14ac:dyDescent="0.3">
      <c r="B26" s="119" t="s">
        <v>79</v>
      </c>
      <c r="C26" s="227">
        <v>16234.81</v>
      </c>
      <c r="D26" s="215">
        <f t="shared" si="0"/>
        <v>2154.7295772778548</v>
      </c>
      <c r="E26" s="150">
        <v>2060</v>
      </c>
      <c r="F26" s="169">
        <v>1500</v>
      </c>
      <c r="G26" s="169">
        <v>1500</v>
      </c>
      <c r="H26" s="169">
        <v>1500</v>
      </c>
      <c r="I26" s="127"/>
    </row>
    <row r="27" spans="2:10" ht="39.6" x14ac:dyDescent="0.3">
      <c r="B27" s="120" t="s">
        <v>105</v>
      </c>
      <c r="C27" s="227"/>
      <c r="D27" s="215">
        <f t="shared" si="0"/>
        <v>0</v>
      </c>
      <c r="E27" s="150">
        <v>20</v>
      </c>
      <c r="F27" s="169"/>
      <c r="G27" s="169"/>
      <c r="H27" s="169"/>
      <c r="I27" s="127"/>
    </row>
    <row r="28" spans="2:10" x14ac:dyDescent="0.3">
      <c r="B28" s="119" t="s">
        <v>77</v>
      </c>
      <c r="C28" s="227"/>
      <c r="D28" s="215">
        <f t="shared" si="0"/>
        <v>0</v>
      </c>
      <c r="E28" s="150">
        <v>20</v>
      </c>
      <c r="F28" s="169"/>
      <c r="G28" s="169"/>
      <c r="H28" s="169"/>
      <c r="I28" s="127"/>
    </row>
    <row r="29" spans="2:10" x14ac:dyDescent="0.3">
      <c r="B29" s="119" t="s">
        <v>79</v>
      </c>
      <c r="C29" s="227"/>
      <c r="D29" s="215">
        <f t="shared" si="0"/>
        <v>0</v>
      </c>
      <c r="E29" s="150">
        <v>20</v>
      </c>
      <c r="F29" s="169"/>
      <c r="G29" s="169"/>
      <c r="H29" s="169"/>
      <c r="I29" s="127"/>
    </row>
    <row r="30" spans="2:10" ht="40.200000000000003" x14ac:dyDescent="0.3">
      <c r="B30" s="134" t="s">
        <v>106</v>
      </c>
      <c r="C30" s="222">
        <f>+C31</f>
        <v>100493.74</v>
      </c>
      <c r="D30" s="215">
        <f t="shared" si="0"/>
        <v>13337.811400889243</v>
      </c>
      <c r="E30" s="131">
        <v>725</v>
      </c>
      <c r="F30" s="168">
        <v>730</v>
      </c>
      <c r="G30" s="168">
        <v>730</v>
      </c>
      <c r="H30" s="168">
        <v>730</v>
      </c>
      <c r="I30" s="127"/>
    </row>
    <row r="31" spans="2:10" x14ac:dyDescent="0.3">
      <c r="B31" s="119" t="s">
        <v>77</v>
      </c>
      <c r="C31" s="227">
        <f>+C32+C33+C34</f>
        <v>100493.74</v>
      </c>
      <c r="D31" s="215">
        <f t="shared" si="0"/>
        <v>13337.811400889243</v>
      </c>
      <c r="E31" s="150">
        <v>725</v>
      </c>
      <c r="F31" s="169">
        <f>+F34</f>
        <v>730</v>
      </c>
      <c r="G31" s="169">
        <f>+G34</f>
        <v>730</v>
      </c>
      <c r="H31" s="169">
        <f>+H34</f>
        <v>730</v>
      </c>
      <c r="I31" s="127"/>
    </row>
    <row r="32" spans="2:10" x14ac:dyDescent="0.3">
      <c r="B32" s="119" t="s">
        <v>78</v>
      </c>
      <c r="C32" s="227">
        <v>52897.08</v>
      </c>
      <c r="D32" s="215">
        <f t="shared" si="0"/>
        <v>7020.6490145331472</v>
      </c>
      <c r="E32" s="150"/>
      <c r="F32" s="169"/>
      <c r="G32" s="169"/>
      <c r="H32" s="169"/>
      <c r="I32" s="127"/>
    </row>
    <row r="33" spans="2:9" x14ac:dyDescent="0.3">
      <c r="B33" s="119" t="s">
        <v>79</v>
      </c>
      <c r="C33" s="227">
        <v>30696.11</v>
      </c>
      <c r="D33" s="215">
        <f t="shared" si="0"/>
        <v>4074.073926604287</v>
      </c>
      <c r="E33" s="150">
        <v>0</v>
      </c>
      <c r="F33" s="169"/>
      <c r="G33" s="169"/>
      <c r="H33" s="169"/>
      <c r="I33" s="127"/>
    </row>
    <row r="34" spans="2:9" x14ac:dyDescent="0.3">
      <c r="B34" s="119" t="s">
        <v>80</v>
      </c>
      <c r="C34" s="227">
        <v>16900.55</v>
      </c>
      <c r="D34" s="215">
        <f t="shared" si="0"/>
        <v>2243.0884597518079</v>
      </c>
      <c r="E34" s="150">
        <v>725</v>
      </c>
      <c r="F34" s="169">
        <f>+F30</f>
        <v>730</v>
      </c>
      <c r="G34" s="169">
        <f>+G30</f>
        <v>730</v>
      </c>
      <c r="H34" s="169">
        <f>+H30</f>
        <v>730</v>
      </c>
      <c r="I34" s="127"/>
    </row>
    <row r="35" spans="2:9" ht="26.4" x14ac:dyDescent="0.3">
      <c r="B35" s="135" t="s">
        <v>107</v>
      </c>
      <c r="C35" s="230">
        <f>+C36+C41</f>
        <v>488084.63</v>
      </c>
      <c r="D35" s="215">
        <f t="shared" si="0"/>
        <v>64779.962837613639</v>
      </c>
      <c r="E35" s="131">
        <v>77870</v>
      </c>
      <c r="F35" s="168">
        <f>+F36+F41</f>
        <v>93150</v>
      </c>
      <c r="G35" s="168">
        <f t="shared" ref="G35:H35" si="7">+G36+G41</f>
        <v>93150</v>
      </c>
      <c r="H35" s="168">
        <f t="shared" si="7"/>
        <v>93150</v>
      </c>
      <c r="I35" s="127"/>
    </row>
    <row r="36" spans="2:9" x14ac:dyDescent="0.3">
      <c r="B36" s="139" t="s">
        <v>103</v>
      </c>
      <c r="C36" s="232">
        <f>+C37</f>
        <v>359075.24</v>
      </c>
      <c r="D36" s="223">
        <f t="shared" si="0"/>
        <v>47657.474284955868</v>
      </c>
      <c r="E36" s="154">
        <v>59870</v>
      </c>
      <c r="F36" s="171">
        <f>+F37</f>
        <v>73150</v>
      </c>
      <c r="G36" s="171">
        <f t="shared" ref="G36:H36" si="8">+G37</f>
        <v>73150</v>
      </c>
      <c r="H36" s="171">
        <f t="shared" si="8"/>
        <v>73150</v>
      </c>
      <c r="I36" s="127"/>
    </row>
    <row r="37" spans="2:9" x14ac:dyDescent="0.3">
      <c r="B37" s="119" t="s">
        <v>77</v>
      </c>
      <c r="C37" s="227">
        <f>+C38+C39+C40</f>
        <v>359075.24</v>
      </c>
      <c r="D37" s="215">
        <f t="shared" si="0"/>
        <v>47657.474284955868</v>
      </c>
      <c r="E37" s="150">
        <v>59870</v>
      </c>
      <c r="F37" s="169">
        <f>+F38+F39+F40</f>
        <v>73150</v>
      </c>
      <c r="G37" s="169">
        <f t="shared" ref="G37:H37" si="9">+G38+G39+G40</f>
        <v>73150</v>
      </c>
      <c r="H37" s="169">
        <f t="shared" si="9"/>
        <v>73150</v>
      </c>
      <c r="I37" s="129"/>
    </row>
    <row r="38" spans="2:9" x14ac:dyDescent="0.3">
      <c r="B38" s="119" t="s">
        <v>78</v>
      </c>
      <c r="C38" s="227">
        <v>268786.24</v>
      </c>
      <c r="D38" s="215">
        <f t="shared" si="0"/>
        <v>35674.064636007693</v>
      </c>
      <c r="E38" s="150">
        <v>40680</v>
      </c>
      <c r="F38" s="169">
        <v>39900</v>
      </c>
      <c r="G38" s="169">
        <v>39900</v>
      </c>
      <c r="H38" s="169">
        <v>39900</v>
      </c>
      <c r="I38" s="127"/>
    </row>
    <row r="39" spans="2:9" x14ac:dyDescent="0.3">
      <c r="B39" s="119" t="s">
        <v>79</v>
      </c>
      <c r="C39" s="227">
        <v>6759</v>
      </c>
      <c r="D39" s="215">
        <f t="shared" si="0"/>
        <v>897.07346207445744</v>
      </c>
      <c r="E39" s="150">
        <v>1190</v>
      </c>
      <c r="F39" s="169">
        <v>1250</v>
      </c>
      <c r="G39" s="169">
        <v>1250</v>
      </c>
      <c r="H39" s="169">
        <v>1250</v>
      </c>
      <c r="I39" s="127"/>
    </row>
    <row r="40" spans="2:9" ht="39.6" x14ac:dyDescent="0.3">
      <c r="B40" s="119" t="s">
        <v>81</v>
      </c>
      <c r="C40" s="227">
        <v>83530</v>
      </c>
      <c r="D40" s="215">
        <f t="shared" si="0"/>
        <v>11086.336186873714</v>
      </c>
      <c r="E40" s="150">
        <v>18000</v>
      </c>
      <c r="F40" s="169">
        <v>32000</v>
      </c>
      <c r="G40" s="169">
        <v>32000</v>
      </c>
      <c r="H40" s="169">
        <v>32000</v>
      </c>
      <c r="I40" s="127"/>
    </row>
    <row r="41" spans="2:9" ht="40.200000000000003" x14ac:dyDescent="0.3">
      <c r="B41" s="134" t="s">
        <v>106</v>
      </c>
      <c r="C41" s="222">
        <f>+C42</f>
        <v>129009.39</v>
      </c>
      <c r="D41" s="215">
        <f t="shared" si="0"/>
        <v>17122.488552657775</v>
      </c>
      <c r="E41" s="131">
        <v>18000</v>
      </c>
      <c r="F41" s="168">
        <v>20000</v>
      </c>
      <c r="G41" s="168">
        <v>20000</v>
      </c>
      <c r="H41" s="168">
        <v>20000</v>
      </c>
      <c r="I41" s="127"/>
    </row>
    <row r="42" spans="2:9" x14ac:dyDescent="0.3">
      <c r="B42" s="119" t="s">
        <v>77</v>
      </c>
      <c r="C42" s="227">
        <f>+C43</f>
        <v>129009.39</v>
      </c>
      <c r="D42" s="215">
        <f t="shared" si="0"/>
        <v>17122.488552657775</v>
      </c>
      <c r="E42" s="150">
        <v>18000</v>
      </c>
      <c r="F42" s="169">
        <f>+F41</f>
        <v>20000</v>
      </c>
      <c r="G42" s="169">
        <f t="shared" ref="G42:H42" si="10">+G41</f>
        <v>20000</v>
      </c>
      <c r="H42" s="169">
        <f t="shared" si="10"/>
        <v>20000</v>
      </c>
      <c r="I42" s="127"/>
    </row>
    <row r="43" spans="2:9" ht="39.6" x14ac:dyDescent="0.3">
      <c r="B43" s="119" t="s">
        <v>81</v>
      </c>
      <c r="C43" s="227">
        <v>129009.39</v>
      </c>
      <c r="D43" s="215">
        <f t="shared" si="0"/>
        <v>17122.488552657775</v>
      </c>
      <c r="E43" s="150">
        <v>18000</v>
      </c>
      <c r="F43" s="169">
        <f>+F41</f>
        <v>20000</v>
      </c>
      <c r="G43" s="169">
        <f t="shared" ref="G43:H43" si="11">+G41</f>
        <v>20000</v>
      </c>
      <c r="H43" s="169">
        <f t="shared" si="11"/>
        <v>20000</v>
      </c>
      <c r="I43" s="127"/>
    </row>
    <row r="44" spans="2:9" ht="52.8" x14ac:dyDescent="0.3">
      <c r="B44" s="253" t="s">
        <v>108</v>
      </c>
      <c r="C44" s="254"/>
      <c r="D44" s="217">
        <f t="shared" si="0"/>
        <v>0</v>
      </c>
      <c r="E44" s="255">
        <v>21636</v>
      </c>
      <c r="F44" s="252">
        <f>+F45</f>
        <v>76650</v>
      </c>
      <c r="G44" s="252"/>
      <c r="H44" s="252"/>
      <c r="I44" s="127"/>
    </row>
    <row r="45" spans="2:9" x14ac:dyDescent="0.3">
      <c r="B45" s="120" t="s">
        <v>103</v>
      </c>
      <c r="C45" s="227"/>
      <c r="D45" s="215">
        <f t="shared" si="0"/>
        <v>0</v>
      </c>
      <c r="E45" s="155"/>
      <c r="F45" s="169">
        <f>+F46</f>
        <v>76650</v>
      </c>
      <c r="G45" s="169"/>
      <c r="H45" s="169"/>
      <c r="I45" s="127"/>
    </row>
    <row r="46" spans="2:9" x14ac:dyDescent="0.3">
      <c r="B46" s="119" t="s">
        <v>77</v>
      </c>
      <c r="C46" s="227"/>
      <c r="D46" s="215">
        <f t="shared" si="0"/>
        <v>0</v>
      </c>
      <c r="E46" s="150">
        <v>0</v>
      </c>
      <c r="F46" s="169">
        <f>+F47</f>
        <v>76650</v>
      </c>
      <c r="G46" s="169"/>
      <c r="H46" s="169"/>
      <c r="I46" s="127"/>
    </row>
    <row r="47" spans="2:9" x14ac:dyDescent="0.3">
      <c r="B47" s="119" t="s">
        <v>79</v>
      </c>
      <c r="C47" s="227"/>
      <c r="D47" s="215">
        <f t="shared" si="0"/>
        <v>0</v>
      </c>
      <c r="E47" s="150">
        <v>0</v>
      </c>
      <c r="F47" s="169">
        <f>16650+60000</f>
        <v>76650</v>
      </c>
      <c r="G47" s="169"/>
      <c r="H47" s="169"/>
      <c r="I47" s="127"/>
    </row>
    <row r="48" spans="2:9" ht="26.4" x14ac:dyDescent="0.3">
      <c r="B48" s="120" t="s">
        <v>109</v>
      </c>
      <c r="C48" s="227"/>
      <c r="D48" s="215">
        <f t="shared" si="0"/>
        <v>0</v>
      </c>
      <c r="E48" s="150">
        <v>21636</v>
      </c>
      <c r="F48" s="169"/>
      <c r="G48" s="169"/>
      <c r="H48" s="169"/>
      <c r="I48" s="127"/>
    </row>
    <row r="49" spans="2:9" x14ac:dyDescent="0.3">
      <c r="B49" s="119" t="s">
        <v>77</v>
      </c>
      <c r="C49" s="227"/>
      <c r="D49" s="215">
        <f t="shared" si="0"/>
        <v>0</v>
      </c>
      <c r="E49" s="150">
        <v>21636</v>
      </c>
      <c r="F49" s="169"/>
      <c r="G49" s="169"/>
      <c r="H49" s="169"/>
      <c r="I49" s="127"/>
    </row>
    <row r="50" spans="2:9" x14ac:dyDescent="0.3">
      <c r="B50" s="119" t="s">
        <v>79</v>
      </c>
      <c r="C50" s="227"/>
      <c r="D50" s="215">
        <f t="shared" si="0"/>
        <v>0</v>
      </c>
      <c r="E50" s="150">
        <v>21636</v>
      </c>
      <c r="F50" s="169"/>
      <c r="G50" s="169"/>
      <c r="H50" s="169"/>
      <c r="I50" s="127"/>
    </row>
    <row r="51" spans="2:9" ht="26.4" x14ac:dyDescent="0.3">
      <c r="B51" s="135" t="s">
        <v>110</v>
      </c>
      <c r="C51" s="230">
        <f>+C52</f>
        <v>161338.31</v>
      </c>
      <c r="D51" s="215">
        <f t="shared" si="0"/>
        <v>21413.273608069547</v>
      </c>
      <c r="E51" s="131">
        <v>25463</v>
      </c>
      <c r="F51" s="168">
        <f>+F52</f>
        <v>25750</v>
      </c>
      <c r="G51" s="168">
        <f t="shared" ref="G51:H52" si="12">+G52</f>
        <v>25750</v>
      </c>
      <c r="H51" s="168">
        <f t="shared" si="12"/>
        <v>25750</v>
      </c>
      <c r="I51" s="127"/>
    </row>
    <row r="52" spans="2:9" x14ac:dyDescent="0.3">
      <c r="B52" s="140" t="s">
        <v>103</v>
      </c>
      <c r="C52" s="233">
        <f>+C53</f>
        <v>161338.31</v>
      </c>
      <c r="D52" s="224">
        <f t="shared" si="0"/>
        <v>21413.273608069547</v>
      </c>
      <c r="E52" s="156">
        <v>25463</v>
      </c>
      <c r="F52" s="172">
        <f>+F53</f>
        <v>25750</v>
      </c>
      <c r="G52" s="172">
        <f t="shared" si="12"/>
        <v>25750</v>
      </c>
      <c r="H52" s="172">
        <f t="shared" si="12"/>
        <v>25750</v>
      </c>
      <c r="I52" s="127"/>
    </row>
    <row r="53" spans="2:9" x14ac:dyDescent="0.3">
      <c r="B53" s="119" t="s">
        <v>77</v>
      </c>
      <c r="C53" s="227">
        <f>+C54+C55</f>
        <v>161338.31</v>
      </c>
      <c r="D53" s="215">
        <f t="shared" si="0"/>
        <v>21413.273608069547</v>
      </c>
      <c r="E53" s="150">
        <v>25463</v>
      </c>
      <c r="F53" s="169">
        <f>+F54+F55</f>
        <v>25750</v>
      </c>
      <c r="G53" s="169">
        <f t="shared" ref="G53:H53" si="13">+G54+G55</f>
        <v>25750</v>
      </c>
      <c r="H53" s="169">
        <f t="shared" si="13"/>
        <v>25750</v>
      </c>
      <c r="I53" s="127"/>
    </row>
    <row r="54" spans="2:9" x14ac:dyDescent="0.3">
      <c r="B54" s="119" t="s">
        <v>78</v>
      </c>
      <c r="C54" s="227">
        <v>150138.31</v>
      </c>
      <c r="D54" s="215">
        <f t="shared" si="0"/>
        <v>19926.778153825733</v>
      </c>
      <c r="E54" s="150">
        <v>23413</v>
      </c>
      <c r="F54" s="169">
        <v>24000</v>
      </c>
      <c r="G54" s="169">
        <v>24000</v>
      </c>
      <c r="H54" s="169">
        <v>24000</v>
      </c>
      <c r="I54" s="127"/>
    </row>
    <row r="55" spans="2:9" x14ac:dyDescent="0.3">
      <c r="B55" s="119" t="s">
        <v>79</v>
      </c>
      <c r="C55" s="227">
        <v>11200</v>
      </c>
      <c r="D55" s="215">
        <f t="shared" si="0"/>
        <v>1486.4954542438118</v>
      </c>
      <c r="E55" s="150">
        <v>2050</v>
      </c>
      <c r="F55" s="169">
        <v>1750</v>
      </c>
      <c r="G55" s="169">
        <v>1750</v>
      </c>
      <c r="H55" s="169">
        <v>1750</v>
      </c>
      <c r="I55" s="127"/>
    </row>
    <row r="56" spans="2:9" x14ac:dyDescent="0.3">
      <c r="B56" s="135" t="s">
        <v>111</v>
      </c>
      <c r="C56" s="230"/>
      <c r="D56" s="215">
        <f t="shared" si="0"/>
        <v>0</v>
      </c>
      <c r="E56" s="131">
        <v>41790</v>
      </c>
      <c r="F56" s="168">
        <f>+F57+F61</f>
        <v>43020</v>
      </c>
      <c r="G56" s="168">
        <f t="shared" ref="G56:H56" si="14">+G57+G61</f>
        <v>43020</v>
      </c>
      <c r="H56" s="168">
        <f t="shared" si="14"/>
        <v>43020</v>
      </c>
      <c r="I56" s="127"/>
    </row>
    <row r="57" spans="2:9" x14ac:dyDescent="0.3">
      <c r="B57" s="140" t="s">
        <v>103</v>
      </c>
      <c r="C57" s="233">
        <f>+C58</f>
        <v>58968.69</v>
      </c>
      <c r="D57" s="224">
        <f t="shared" si="0"/>
        <v>7826.4901453314751</v>
      </c>
      <c r="E57" s="156">
        <v>17900</v>
      </c>
      <c r="F57" s="172">
        <f>+F58</f>
        <v>18100</v>
      </c>
      <c r="G57" s="172">
        <f t="shared" ref="G57:H57" si="15">+G58</f>
        <v>18100</v>
      </c>
      <c r="H57" s="172">
        <f t="shared" si="15"/>
        <v>18100</v>
      </c>
      <c r="I57" s="127"/>
    </row>
    <row r="58" spans="2:9" x14ac:dyDescent="0.3">
      <c r="B58" s="119" t="s">
        <v>77</v>
      </c>
      <c r="C58" s="227">
        <f>+C59+C60</f>
        <v>58968.69</v>
      </c>
      <c r="D58" s="215">
        <f t="shared" si="0"/>
        <v>7826.4901453314751</v>
      </c>
      <c r="E58" s="150">
        <v>17900</v>
      </c>
      <c r="F58" s="169">
        <f>+F59+F60</f>
        <v>18100</v>
      </c>
      <c r="G58" s="169">
        <f t="shared" ref="G58:H58" si="16">+G59+G60</f>
        <v>18100</v>
      </c>
      <c r="H58" s="169">
        <f t="shared" si="16"/>
        <v>18100</v>
      </c>
      <c r="I58" s="127"/>
    </row>
    <row r="59" spans="2:9" x14ac:dyDescent="0.3">
      <c r="B59" s="119" t="s">
        <v>78</v>
      </c>
      <c r="C59" s="227">
        <v>56418.69</v>
      </c>
      <c r="D59" s="215">
        <f t="shared" si="0"/>
        <v>7488.0469838741783</v>
      </c>
      <c r="E59" s="150">
        <v>17500</v>
      </c>
      <c r="F59" s="169">
        <v>17700</v>
      </c>
      <c r="G59" s="169">
        <v>17700</v>
      </c>
      <c r="H59" s="169">
        <v>17700</v>
      </c>
      <c r="I59" s="127"/>
    </row>
    <row r="60" spans="2:9" x14ac:dyDescent="0.3">
      <c r="B60" s="119" t="s">
        <v>79</v>
      </c>
      <c r="C60" s="227">
        <v>2550</v>
      </c>
      <c r="D60" s="215">
        <f t="shared" si="0"/>
        <v>338.44316145729641</v>
      </c>
      <c r="E60" s="150">
        <v>400</v>
      </c>
      <c r="F60" s="169">
        <v>400</v>
      </c>
      <c r="G60" s="169">
        <v>400</v>
      </c>
      <c r="H60" s="169">
        <v>400</v>
      </c>
      <c r="I60" s="127"/>
    </row>
    <row r="61" spans="2:9" x14ac:dyDescent="0.3">
      <c r="B61" s="139" t="s">
        <v>112</v>
      </c>
      <c r="C61" s="232">
        <f>+C62</f>
        <v>139988.76</v>
      </c>
      <c r="D61" s="223">
        <f t="shared" si="0"/>
        <v>18579.701373681066</v>
      </c>
      <c r="E61" s="154">
        <v>23890</v>
      </c>
      <c r="F61" s="171">
        <f>+F62</f>
        <v>24920</v>
      </c>
      <c r="G61" s="171">
        <f t="shared" ref="G61:H61" si="17">+G62</f>
        <v>24920</v>
      </c>
      <c r="H61" s="171">
        <f t="shared" si="17"/>
        <v>24920</v>
      </c>
      <c r="I61" s="127"/>
    </row>
    <row r="62" spans="2:9" x14ac:dyDescent="0.3">
      <c r="B62" s="119" t="s">
        <v>77</v>
      </c>
      <c r="C62" s="227">
        <f>+C63+C64</f>
        <v>139988.76</v>
      </c>
      <c r="D62" s="215">
        <f t="shared" si="0"/>
        <v>18579.701373681066</v>
      </c>
      <c r="E62" s="150">
        <v>23890</v>
      </c>
      <c r="F62" s="169">
        <f>+F63+F64</f>
        <v>24920</v>
      </c>
      <c r="G62" s="169">
        <f t="shared" ref="G62:H62" si="18">+G63+G64</f>
        <v>24920</v>
      </c>
      <c r="H62" s="169">
        <f t="shared" si="18"/>
        <v>24920</v>
      </c>
      <c r="I62" s="127"/>
    </row>
    <row r="63" spans="2:9" x14ac:dyDescent="0.3">
      <c r="B63" s="119" t="s">
        <v>78</v>
      </c>
      <c r="C63" s="227">
        <v>135538.76</v>
      </c>
      <c r="D63" s="215">
        <f t="shared" si="0"/>
        <v>17989.084876235982</v>
      </c>
      <c r="E63" s="150">
        <v>22320</v>
      </c>
      <c r="F63" s="169">
        <v>23700</v>
      </c>
      <c r="G63" s="169">
        <v>23700</v>
      </c>
      <c r="H63" s="169">
        <v>23700</v>
      </c>
      <c r="I63" s="127"/>
    </row>
    <row r="64" spans="2:9" x14ac:dyDescent="0.3">
      <c r="B64" s="119" t="s">
        <v>79</v>
      </c>
      <c r="C64" s="227">
        <v>4450</v>
      </c>
      <c r="D64" s="215">
        <f t="shared" si="0"/>
        <v>590.61649744508588</v>
      </c>
      <c r="E64" s="150">
        <v>1570</v>
      </c>
      <c r="F64" s="169">
        <v>1220</v>
      </c>
      <c r="G64" s="169">
        <v>1220</v>
      </c>
      <c r="H64" s="169">
        <v>1220</v>
      </c>
      <c r="I64" s="127"/>
    </row>
    <row r="65" spans="2:8" ht="26.4" x14ac:dyDescent="0.3">
      <c r="B65" s="219" t="s">
        <v>113</v>
      </c>
      <c r="C65" s="234">
        <f>+C66</f>
        <v>136374.42000000001</v>
      </c>
      <c r="D65" s="215">
        <f t="shared" si="0"/>
        <v>18099.996018315749</v>
      </c>
      <c r="E65" s="218">
        <v>19000</v>
      </c>
      <c r="F65" s="173">
        <f>+F66</f>
        <v>19000</v>
      </c>
      <c r="G65" s="173">
        <f t="shared" ref="G65:H65" si="19">+G66</f>
        <v>19000</v>
      </c>
      <c r="H65" s="173">
        <f t="shared" si="19"/>
        <v>19000</v>
      </c>
    </row>
    <row r="66" spans="2:8" ht="39.6" x14ac:dyDescent="0.3">
      <c r="B66" s="130" t="s">
        <v>106</v>
      </c>
      <c r="C66" s="225">
        <f>+C67</f>
        <v>136374.42000000001</v>
      </c>
      <c r="D66" s="215">
        <f t="shared" si="0"/>
        <v>18099.996018315749</v>
      </c>
      <c r="E66" s="148">
        <v>19000</v>
      </c>
      <c r="F66" s="166">
        <v>19000</v>
      </c>
      <c r="G66" s="166">
        <v>19000</v>
      </c>
      <c r="H66" s="166">
        <v>19000</v>
      </c>
    </row>
    <row r="67" spans="2:8" ht="26.4" x14ac:dyDescent="0.3">
      <c r="B67" s="119" t="s">
        <v>82</v>
      </c>
      <c r="C67" s="227">
        <f>+C68</f>
        <v>136374.42000000001</v>
      </c>
      <c r="D67" s="215">
        <f t="shared" si="0"/>
        <v>18099.996018315749</v>
      </c>
      <c r="E67" s="157">
        <v>19000</v>
      </c>
      <c r="F67" s="173">
        <f>+E67</f>
        <v>19000</v>
      </c>
      <c r="G67" s="173">
        <f t="shared" ref="G67:H67" si="20">+F67</f>
        <v>19000</v>
      </c>
      <c r="H67" s="173">
        <f t="shared" si="20"/>
        <v>19000</v>
      </c>
    </row>
    <row r="68" spans="2:8" ht="26.4" x14ac:dyDescent="0.3">
      <c r="B68" s="119" t="s">
        <v>83</v>
      </c>
      <c r="C68" s="227">
        <v>136374.42000000001</v>
      </c>
      <c r="D68" s="215">
        <f t="shared" si="0"/>
        <v>18099.996018315749</v>
      </c>
      <c r="E68" s="157">
        <v>19000</v>
      </c>
      <c r="F68" s="173">
        <f>+E68</f>
        <v>19000</v>
      </c>
      <c r="G68" s="173">
        <f t="shared" ref="G68:H68" si="21">+F68</f>
        <v>19000</v>
      </c>
      <c r="H68" s="173">
        <f t="shared" si="21"/>
        <v>19000</v>
      </c>
    </row>
    <row r="69" spans="2:8" ht="26.4" x14ac:dyDescent="0.3">
      <c r="B69" s="137" t="s">
        <v>114</v>
      </c>
      <c r="C69" s="226">
        <f>+C70+C74</f>
        <v>14101.27</v>
      </c>
      <c r="D69" s="242">
        <f t="shared" si="0"/>
        <v>1871.5601566129139</v>
      </c>
      <c r="E69" s="149">
        <v>1727</v>
      </c>
      <c r="F69" s="167">
        <f>+F70+F73</f>
        <v>1730</v>
      </c>
      <c r="G69" s="167">
        <f t="shared" ref="G69:H69" si="22">+G70+G73</f>
        <v>1730</v>
      </c>
      <c r="H69" s="167">
        <f t="shared" si="22"/>
        <v>1730</v>
      </c>
    </row>
    <row r="70" spans="2:8" ht="26.4" x14ac:dyDescent="0.3">
      <c r="B70" s="120" t="s">
        <v>115</v>
      </c>
      <c r="C70" s="227">
        <v>1300</v>
      </c>
      <c r="D70" s="215">
        <f t="shared" si="0"/>
        <v>172.53965093901385</v>
      </c>
      <c r="E70" s="157">
        <v>100</v>
      </c>
      <c r="F70" s="173">
        <v>100</v>
      </c>
      <c r="G70" s="173">
        <v>100</v>
      </c>
      <c r="H70" s="173">
        <v>100</v>
      </c>
    </row>
    <row r="71" spans="2:8" x14ac:dyDescent="0.3">
      <c r="B71" s="119" t="s">
        <v>77</v>
      </c>
      <c r="C71" s="227">
        <v>1300</v>
      </c>
      <c r="D71" s="215">
        <f t="shared" si="0"/>
        <v>172.53965093901385</v>
      </c>
      <c r="E71" s="157">
        <v>100</v>
      </c>
      <c r="F71" s="173">
        <v>100</v>
      </c>
      <c r="G71" s="173">
        <v>100</v>
      </c>
      <c r="H71" s="173">
        <v>100</v>
      </c>
    </row>
    <row r="72" spans="2:8" x14ac:dyDescent="0.3">
      <c r="B72" s="119" t="s">
        <v>79</v>
      </c>
      <c r="C72" s="227">
        <v>1300</v>
      </c>
      <c r="D72" s="215">
        <f t="shared" si="0"/>
        <v>172.53965093901385</v>
      </c>
      <c r="E72" s="157">
        <v>100</v>
      </c>
      <c r="F72" s="173">
        <v>100</v>
      </c>
      <c r="G72" s="173">
        <v>100</v>
      </c>
      <c r="H72" s="173">
        <v>100</v>
      </c>
    </row>
    <row r="73" spans="2:8" x14ac:dyDescent="0.3">
      <c r="B73" s="139" t="s">
        <v>112</v>
      </c>
      <c r="C73" s="232">
        <f>+C74</f>
        <v>12801.27</v>
      </c>
      <c r="D73" s="223">
        <f t="shared" ref="D73:D91" si="23">C73/$I$2</f>
        <v>1699.0205056739001</v>
      </c>
      <c r="E73" s="158">
        <v>1627</v>
      </c>
      <c r="F73" s="174">
        <v>1630</v>
      </c>
      <c r="G73" s="174">
        <v>1630</v>
      </c>
      <c r="H73" s="174">
        <v>1630</v>
      </c>
    </row>
    <row r="74" spans="2:8" x14ac:dyDescent="0.3">
      <c r="B74" s="119" t="s">
        <v>77</v>
      </c>
      <c r="C74" s="227">
        <v>12801.27</v>
      </c>
      <c r="D74" s="215">
        <f t="shared" si="23"/>
        <v>1699.0205056739001</v>
      </c>
      <c r="E74" s="157">
        <v>1627</v>
      </c>
      <c r="F74" s="173">
        <v>1630</v>
      </c>
      <c r="G74" s="173">
        <v>1630</v>
      </c>
      <c r="H74" s="173">
        <v>1630</v>
      </c>
    </row>
    <row r="75" spans="2:8" x14ac:dyDescent="0.3">
      <c r="B75" s="119" t="s">
        <v>79</v>
      </c>
      <c r="C75" s="227">
        <f>+C74</f>
        <v>12801.27</v>
      </c>
      <c r="D75" s="215">
        <f t="shared" si="23"/>
        <v>1699.0205056739001</v>
      </c>
      <c r="E75" s="157">
        <v>1627</v>
      </c>
      <c r="F75" s="173">
        <v>1630</v>
      </c>
      <c r="G75" s="173">
        <v>1630</v>
      </c>
      <c r="H75" s="173">
        <v>1630</v>
      </c>
    </row>
    <row r="76" spans="2:8" ht="39.6" x14ac:dyDescent="0.3">
      <c r="B76" s="142" t="s">
        <v>116</v>
      </c>
      <c r="C76" s="235"/>
      <c r="D76" s="243">
        <f t="shared" si="23"/>
        <v>0</v>
      </c>
      <c r="E76" s="159">
        <v>35321</v>
      </c>
      <c r="F76" s="175">
        <f>+F77</f>
        <v>69000</v>
      </c>
      <c r="G76" s="175">
        <f>+G77</f>
        <v>69000</v>
      </c>
      <c r="H76" s="175">
        <f t="shared" ref="G76:H78" si="24">+H77</f>
        <v>69000</v>
      </c>
    </row>
    <row r="77" spans="2:8" ht="39.6" x14ac:dyDescent="0.3">
      <c r="B77" s="120" t="s">
        <v>106</v>
      </c>
      <c r="C77" s="227"/>
      <c r="D77" s="215">
        <f t="shared" si="23"/>
        <v>0</v>
      </c>
      <c r="E77" s="157">
        <v>35321</v>
      </c>
      <c r="F77" s="173">
        <f>+F78</f>
        <v>69000</v>
      </c>
      <c r="G77" s="173">
        <f t="shared" si="24"/>
        <v>69000</v>
      </c>
      <c r="H77" s="173">
        <f t="shared" si="24"/>
        <v>69000</v>
      </c>
    </row>
    <row r="78" spans="2:8" x14ac:dyDescent="0.3">
      <c r="B78" s="119" t="s">
        <v>77</v>
      </c>
      <c r="C78" s="227"/>
      <c r="D78" s="215">
        <f t="shared" si="23"/>
        <v>0</v>
      </c>
      <c r="E78" s="157">
        <v>35321</v>
      </c>
      <c r="F78" s="173">
        <f>+F79</f>
        <v>69000</v>
      </c>
      <c r="G78" s="173">
        <f t="shared" si="24"/>
        <v>69000</v>
      </c>
      <c r="H78" s="173">
        <f t="shared" si="24"/>
        <v>69000</v>
      </c>
    </row>
    <row r="79" spans="2:8" x14ac:dyDescent="0.3">
      <c r="B79" s="119" t="s">
        <v>79</v>
      </c>
      <c r="C79" s="227"/>
      <c r="D79" s="215">
        <f t="shared" si="23"/>
        <v>0</v>
      </c>
      <c r="E79" s="157">
        <v>0</v>
      </c>
      <c r="F79" s="173">
        <v>69000</v>
      </c>
      <c r="G79" s="173">
        <v>69000</v>
      </c>
      <c r="H79" s="173">
        <v>69000</v>
      </c>
    </row>
    <row r="80" spans="2:8" ht="39.6" x14ac:dyDescent="0.3">
      <c r="B80" s="119" t="s">
        <v>81</v>
      </c>
      <c r="C80" s="227"/>
      <c r="D80" s="215">
        <f t="shared" si="23"/>
        <v>0</v>
      </c>
      <c r="E80" s="157">
        <v>35321</v>
      </c>
      <c r="F80" s="173"/>
      <c r="G80" s="173"/>
      <c r="H80" s="173"/>
    </row>
    <row r="81" spans="2:8" ht="39.6" x14ac:dyDescent="0.3">
      <c r="B81" s="144" t="s">
        <v>117</v>
      </c>
      <c r="C81" s="236">
        <f>+C83</f>
        <v>44992.07</v>
      </c>
      <c r="D81" s="244">
        <f t="shared" si="23"/>
        <v>5971.4738867874439</v>
      </c>
      <c r="E81" s="160">
        <v>5970</v>
      </c>
      <c r="F81" s="160">
        <v>5970</v>
      </c>
      <c r="G81" s="160">
        <v>5970</v>
      </c>
      <c r="H81" s="160">
        <v>5970</v>
      </c>
    </row>
    <row r="82" spans="2:8" x14ac:dyDescent="0.3">
      <c r="B82" s="135" t="s">
        <v>118</v>
      </c>
      <c r="C82" s="230"/>
      <c r="D82" s="215">
        <f t="shared" si="23"/>
        <v>0</v>
      </c>
      <c r="E82" s="131">
        <v>5970</v>
      </c>
      <c r="F82" s="131">
        <v>5970</v>
      </c>
      <c r="G82" s="131">
        <v>5970</v>
      </c>
      <c r="H82" s="131">
        <v>5970</v>
      </c>
    </row>
    <row r="83" spans="2:8" ht="26.4" x14ac:dyDescent="0.3">
      <c r="B83" s="120" t="s">
        <v>98</v>
      </c>
      <c r="C83" s="227">
        <f>+C84</f>
        <v>44992.07</v>
      </c>
      <c r="D83" s="215">
        <f t="shared" si="23"/>
        <v>5971.4738867874439</v>
      </c>
      <c r="E83" s="157">
        <v>5970</v>
      </c>
      <c r="F83" s="157">
        <v>5970</v>
      </c>
      <c r="G83" s="157">
        <v>5970</v>
      </c>
      <c r="H83" s="157">
        <v>5970</v>
      </c>
    </row>
    <row r="84" spans="2:8" ht="26.4" x14ac:dyDescent="0.3">
      <c r="B84" s="119" t="s">
        <v>82</v>
      </c>
      <c r="C84" s="227">
        <f>+C85</f>
        <v>44992.07</v>
      </c>
      <c r="D84" s="215">
        <f t="shared" si="23"/>
        <v>5971.4738867874439</v>
      </c>
      <c r="E84" s="157">
        <v>5970</v>
      </c>
      <c r="F84" s="157">
        <v>5970</v>
      </c>
      <c r="G84" s="157">
        <v>5970</v>
      </c>
      <c r="H84" s="157">
        <v>5970</v>
      </c>
    </row>
    <row r="85" spans="2:8" ht="26.4" x14ac:dyDescent="0.3">
      <c r="B85" s="119" t="s">
        <v>83</v>
      </c>
      <c r="C85" s="227">
        <v>44992.07</v>
      </c>
      <c r="D85" s="215">
        <f t="shared" si="23"/>
        <v>5971.4738867874439</v>
      </c>
      <c r="E85" s="157">
        <v>5970</v>
      </c>
      <c r="F85" s="157">
        <v>5970</v>
      </c>
      <c r="G85" s="157">
        <v>5970</v>
      </c>
      <c r="H85" s="157">
        <v>5970</v>
      </c>
    </row>
    <row r="86" spans="2:8" ht="54" customHeight="1" x14ac:dyDescent="0.3">
      <c r="B86" s="145" t="s">
        <v>121</v>
      </c>
      <c r="C86" s="237"/>
      <c r="D86" s="245">
        <f t="shared" si="23"/>
        <v>0</v>
      </c>
      <c r="E86" s="161"/>
      <c r="F86" s="162">
        <f>+F87</f>
        <v>103400</v>
      </c>
      <c r="G86" s="176"/>
      <c r="H86" s="176"/>
    </row>
    <row r="87" spans="2:8" x14ac:dyDescent="0.3">
      <c r="B87" s="146" t="s">
        <v>122</v>
      </c>
      <c r="C87" s="238">
        <f>+C89</f>
        <v>465056.87</v>
      </c>
      <c r="D87" s="215">
        <f t="shared" si="23"/>
        <v>61723.653858915648</v>
      </c>
      <c r="E87" s="177"/>
      <c r="F87" s="177">
        <v>103400</v>
      </c>
      <c r="G87" s="177">
        <v>0</v>
      </c>
      <c r="H87" s="177">
        <v>0</v>
      </c>
    </row>
    <row r="88" spans="2:8" x14ac:dyDescent="0.3">
      <c r="B88" s="147" t="s">
        <v>123</v>
      </c>
      <c r="C88" s="239"/>
      <c r="D88" s="215">
        <f t="shared" si="23"/>
        <v>0</v>
      </c>
      <c r="E88" s="177"/>
      <c r="F88" s="173">
        <f>+F90</f>
        <v>103400</v>
      </c>
      <c r="G88" s="177"/>
      <c r="H88" s="177"/>
    </row>
    <row r="89" spans="2:8" x14ac:dyDescent="0.3">
      <c r="B89" s="147" t="s">
        <v>128</v>
      </c>
      <c r="C89" s="239">
        <v>465056.87</v>
      </c>
      <c r="D89" s="215">
        <f t="shared" si="23"/>
        <v>61723.653858915648</v>
      </c>
      <c r="E89" s="177"/>
      <c r="F89" s="173"/>
      <c r="G89" s="177"/>
      <c r="H89" s="177"/>
    </row>
    <row r="90" spans="2:8" ht="26.4" x14ac:dyDescent="0.3">
      <c r="B90" s="119" t="s">
        <v>82</v>
      </c>
      <c r="C90" s="227">
        <f>+C89</f>
        <v>465056.87</v>
      </c>
      <c r="D90" s="215">
        <f t="shared" si="23"/>
        <v>61723.653858915648</v>
      </c>
      <c r="E90" s="157"/>
      <c r="F90" s="157">
        <f>+F86</f>
        <v>103400</v>
      </c>
      <c r="G90" s="157"/>
      <c r="H90" s="157"/>
    </row>
    <row r="91" spans="2:8" ht="26.4" x14ac:dyDescent="0.3">
      <c r="B91" s="119" t="s">
        <v>83</v>
      </c>
      <c r="C91" s="227"/>
      <c r="D91" s="215">
        <f t="shared" si="23"/>
        <v>0</v>
      </c>
      <c r="E91" s="157"/>
      <c r="F91" s="157">
        <f>+F86</f>
        <v>103400</v>
      </c>
      <c r="G91" s="157"/>
      <c r="H91" s="157"/>
    </row>
    <row r="92" spans="2:8" x14ac:dyDescent="0.3">
      <c r="B92" s="178"/>
      <c r="C92" s="240"/>
    </row>
    <row r="93" spans="2:8" x14ac:dyDescent="0.3">
      <c r="B93" s="178"/>
      <c r="C93" s="240"/>
    </row>
    <row r="94" spans="2:8" x14ac:dyDescent="0.3">
      <c r="B94" s="178"/>
      <c r="C94" s="240"/>
    </row>
    <row r="95" spans="2:8" x14ac:dyDescent="0.3">
      <c r="B95" s="178"/>
      <c r="C95" s="240"/>
    </row>
    <row r="96" spans="2:8" x14ac:dyDescent="0.3">
      <c r="B96" s="178"/>
      <c r="C96" s="240"/>
    </row>
    <row r="97" spans="2:3" x14ac:dyDescent="0.3">
      <c r="B97" s="178"/>
      <c r="C97" s="240"/>
    </row>
    <row r="98" spans="2:3" x14ac:dyDescent="0.3">
      <c r="B98" s="178"/>
      <c r="C98" s="240"/>
    </row>
    <row r="99" spans="2:3" x14ac:dyDescent="0.3">
      <c r="B99" s="178"/>
      <c r="C99" s="240"/>
    </row>
    <row r="100" spans="2:3" x14ac:dyDescent="0.3">
      <c r="B100" s="178"/>
      <c r="C100" s="240"/>
    </row>
    <row r="101" spans="2:3" x14ac:dyDescent="0.3">
      <c r="B101" s="178"/>
      <c r="C101" s="240"/>
    </row>
    <row r="102" spans="2:3" x14ac:dyDescent="0.3">
      <c r="B102" s="178"/>
      <c r="C102" s="240"/>
    </row>
    <row r="103" spans="2:3" x14ac:dyDescent="0.3">
      <c r="B103" s="178"/>
      <c r="C103" s="240"/>
    </row>
    <row r="104" spans="2:3" x14ac:dyDescent="0.3">
      <c r="B104" s="178"/>
      <c r="C104" s="240"/>
    </row>
    <row r="105" spans="2:3" x14ac:dyDescent="0.3">
      <c r="B105" s="178"/>
      <c r="C105" s="240"/>
    </row>
    <row r="106" spans="2:3" x14ac:dyDescent="0.3">
      <c r="B106" s="178"/>
      <c r="C106" s="240"/>
    </row>
    <row r="107" spans="2:3" x14ac:dyDescent="0.3">
      <c r="B107" s="178"/>
      <c r="C107" s="240"/>
    </row>
    <row r="108" spans="2:3" x14ac:dyDescent="0.3">
      <c r="B108" s="178"/>
      <c r="C108" s="240"/>
    </row>
    <row r="109" spans="2:3" x14ac:dyDescent="0.3">
      <c r="B109" s="178"/>
      <c r="C109" s="240"/>
    </row>
    <row r="110" spans="2:3" x14ac:dyDescent="0.3">
      <c r="B110" s="178"/>
      <c r="C110" s="240"/>
    </row>
    <row r="111" spans="2:3" x14ac:dyDescent="0.3">
      <c r="B111" s="178"/>
      <c r="C111" s="240"/>
    </row>
    <row r="112" spans="2:3" x14ac:dyDescent="0.3">
      <c r="B112" s="178"/>
      <c r="C112" s="240"/>
    </row>
    <row r="113" spans="2:3" x14ac:dyDescent="0.3">
      <c r="B113" s="178"/>
      <c r="C113" s="240"/>
    </row>
    <row r="114" spans="2:3" x14ac:dyDescent="0.3">
      <c r="B114" s="178"/>
      <c r="C114" s="240"/>
    </row>
    <row r="115" spans="2:3" x14ac:dyDescent="0.3">
      <c r="B115" s="178"/>
      <c r="C115" s="240"/>
    </row>
    <row r="116" spans="2:3" x14ac:dyDescent="0.3">
      <c r="B116" s="178"/>
      <c r="C116" s="240"/>
    </row>
    <row r="117" spans="2:3" x14ac:dyDescent="0.3">
      <c r="B117" s="178"/>
      <c r="C117" s="240"/>
    </row>
    <row r="118" spans="2:3" x14ac:dyDescent="0.3">
      <c r="B118" s="178"/>
      <c r="C118" s="240"/>
    </row>
    <row r="119" spans="2:3" x14ac:dyDescent="0.3">
      <c r="B119" s="178"/>
      <c r="C119" s="240"/>
    </row>
    <row r="120" spans="2:3" x14ac:dyDescent="0.3">
      <c r="B120" s="178"/>
      <c r="C120" s="240"/>
    </row>
    <row r="121" spans="2:3" x14ac:dyDescent="0.3">
      <c r="B121" s="178"/>
      <c r="C121" s="240"/>
    </row>
    <row r="122" spans="2:3" x14ac:dyDescent="0.3">
      <c r="B122" s="178"/>
      <c r="C122" s="240"/>
    </row>
    <row r="123" spans="2:3" x14ac:dyDescent="0.3">
      <c r="B123" s="178"/>
      <c r="C123" s="240"/>
    </row>
    <row r="124" spans="2:3" x14ac:dyDescent="0.3">
      <c r="B124" s="178"/>
      <c r="C124" s="240"/>
    </row>
    <row r="125" spans="2:3" x14ac:dyDescent="0.3">
      <c r="B125" s="178"/>
      <c r="C125" s="240"/>
    </row>
    <row r="126" spans="2:3" x14ac:dyDescent="0.3">
      <c r="B126" s="178"/>
      <c r="C126" s="240"/>
    </row>
  </sheetData>
  <mergeCells count="2">
    <mergeCell ref="B1:H1"/>
    <mergeCell ref="B2:H4"/>
  </mergeCells>
  <pageMargins left="0.7" right="0.7" top="0.75" bottom="0.75" header="0.3" footer="0.3"/>
  <pageSetup paperSize="9" scale="69" fitToWidth="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2023-09-27T09:02:08Z</cp:lastPrinted>
  <dcterms:created xsi:type="dcterms:W3CDTF">2022-08-12T12:51:27Z</dcterms:created>
  <dcterms:modified xsi:type="dcterms:W3CDTF">2023-09-28T07:59:38Z</dcterms:modified>
</cp:coreProperties>
</file>